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Y5LrJC0cpgyNSGEuoHKsjnFeXMTWh8NXarGpsnCqcc4TrHGXjfCsngAjuh9arvN3FvELOeIzCQY7uId5wYIoWg==" workbookSaltValue="8Mz0TRFxncvESVKHYe88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AT18" i="17"/>
  <c r="N10" i="11"/>
  <c r="N9" i="11"/>
  <c r="T10" i="21"/>
  <c r="F10" i="10"/>
  <c r="N11" i="11"/>
  <c r="ES19" i="8"/>
  <c r="C18" i="7"/>
  <c r="S19" i="13"/>
  <c r="AG19" i="19"/>
  <c r="CI19" i="8"/>
  <c r="AE19" i="8"/>
  <c r="EP19" i="8"/>
  <c r="ER19" i="13"/>
  <c r="AL13" i="16"/>
  <c r="S13" i="16"/>
  <c r="H18" i="16"/>
  <c r="P13" i="16"/>
  <c r="AN13" i="20"/>
  <c r="F15" i="17"/>
  <c r="F9" i="2"/>
  <c r="AC10" i="11"/>
  <c r="H13" i="12"/>
  <c r="T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6" i="17" l="1"/>
  <c r="Y19" i="8"/>
  <c r="AW18" i="21"/>
  <c r="AB19" i="8"/>
  <c r="Z19" i="8"/>
  <c r="L12" i="14"/>
  <c r="BD12" i="8"/>
  <c r="BG10" i="8"/>
  <c r="C17" i="6"/>
  <c r="M13" i="2"/>
  <c r="B12" i="6"/>
  <c r="AL10" i="11"/>
  <c r="H12" i="7"/>
  <c r="C11" i="6"/>
  <c r="B17" i="6"/>
  <c r="AO16" i="11"/>
  <c r="M18" i="2"/>
  <c r="M19" i="2" s="1"/>
  <c r="N13" i="2"/>
  <c r="N18" i="2"/>
  <c r="H12"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9" i="7"/>
  <c r="D19" i="12"/>
  <c r="AL18" i="11"/>
  <c r="K16" i="12"/>
  <c r="Y13" i="11"/>
  <c r="F19" i="7"/>
  <c r="K10" i="12"/>
  <c r="H13" i="2"/>
  <c r="N19" i="2"/>
  <c r="K12" i="12"/>
  <c r="BE13" i="13"/>
  <c r="BG13" i="13"/>
  <c r="F18" i="20"/>
  <c r="F21" i="20" s="1"/>
  <c r="C18" i="6"/>
  <c r="BB19" i="13"/>
  <c r="BF13" i="13"/>
  <c r="AM13" i="11"/>
  <c r="Q12"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<sst xmlns="http://schemas.openxmlformats.org/spreadsheetml/2006/main" count="2102" uniqueCount="918">
  <si>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</si>
  <si>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</si>
  <si>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</si>
  <si>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</si>
  <si>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</si>
  <si>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</si>
  <si>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</si>
  <si>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</si>
  <si>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</si>
  <si>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</si>
  <si>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</si>
  <si>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</si>
  <si>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</si>
  <si>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</si>
  <si>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</si>
  <si>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</si>
  <si>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</si>
  <si>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</si>
  <si>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</si>
  <si>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</si>
  <si>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</si>
  <si>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</si>
  <si>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</si>
  <si>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</si>
  <si>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</si>
  <si>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</si>
  <si>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</si>
  <si>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</si>
  <si>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</si>
  <si>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</si>
  <si>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</si>
  <si>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</si>
  <si>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</si>
  <si>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</si>
  <si>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</si>
  <si>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</si>
  <si>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</si>
  <si>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</si>
  <si>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</si>
  <si>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</si>
  <si>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</si>
  <si>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</si>
  <si>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</si>
  <si>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</si>
  <si>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</si>
  <si>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</si>
  <si>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</si>
  <si>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</si>
  <si>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</si>
  <si>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</si>
  <si>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</si>
  <si>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</si>
  <si>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</si>
  <si>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</si>
  <si>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</si>
  <si>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</si>
  <si>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</si>
  <si>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</si>
  <si>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</si>
  <si>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</si>
  <si>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</si>
  <si>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</si>
  <si>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</si>
  <si>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</si>
  <si>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</si>
  <si>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</si>
  <si>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</si>
  <si>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</si>
  <si>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</si>
  <si>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</si>
  <si>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</si>
  <si>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</si>
  <si>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</si>
  <si>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</si>
  <si>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</si>
  <si>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</si>
  <si>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</si>
  <si>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</si>
  <si>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</si>
  <si>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</si>
  <si>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</si>
  <si>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</si>
  <si>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</si>
  <si>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</si>
  <si>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</si>
  <si>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</si>
  <si>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</si>
  <si>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</si>
  <si>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</si>
  <si>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</si>
  <si>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</si>
  <si>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</si>
  <si>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</si>
  <si>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</si>
  <si>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</si>
  <si>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</si>
  <si>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</si>
  <si>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</si>
  <si>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</si>
  <si>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</si>
  <si>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</si>
  <si>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</si>
  <si>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</si>
  <si>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</si>
  <si>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</si>
  <si>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</si>
  <si>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</si>
  <si>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</si>
  <si>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</si>
  <si>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</si>
  <si>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</si>
  <si>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</si>
  <si>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</si>
  <si>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</si>
  <si>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</si>
  <si>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</si>
  <si>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</si>
  <si>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</si>
  <si>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</si>
  <si>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</si>
  <si>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</si>
  <si>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</si>
  <si>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</si>
  <si>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</si>
  <si>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</si>
  <si>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</si>
  <si>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</si>
  <si>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</si>
  <si>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</si>
  <si>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</si>
  <si>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</si>
  <si>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</si>
  <si>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</si>
  <si>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</si>
  <si>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</si>
  <si>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</si>
  <si>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</si>
  <si>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</si>
  <si>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</si>
  <si>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</si>
  <si>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</si>
  <si>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</si>
  <si>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</si>
  <si>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</si>
  <si>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</si>
  <si>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</si>
  <si>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</si>
  <si>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</si>
  <si>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</si>
  <si>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</si>
  <si>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</si>
  <si>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</si>
  <si>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</si>
  <si>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</si>
  <si>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</si>
  <si>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</si>
  <si>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</si>
  <si>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</si>
  <si>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</si>
  <si>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</si>
  <si>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</si>
  <si>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</si>
  <si>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</si>
  <si>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</si>
  <si>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</si>
  <si>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</si>
  <si>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</si>
  <si>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</si>
  <si>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</si>
  <si>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</si>
  <si>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</si>
  <si>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</si>
  <si>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</si>
  <si>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</si>
  <si>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</si>
  <si>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</si>
  <si>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</si>
  <si>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</si>
  <si>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</si>
  <si>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</si>
  <si>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</si>
  <si>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</si>
  <si>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</si>
  <si>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</si>
  <si>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</si>
  <si>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</si>
  <si>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</si>
  <si>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</si>
  <si>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</si>
  <si>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</si>
  <si>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</si>
  <si>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</si>
  <si>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</si>
  <si>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</si>
  <si>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</si>
  <si>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</si>
  <si>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</si>
  <si>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</si>
  <si>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</si>
  <si>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</si>
  <si>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</si>
  <si>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</si>
  <si>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</si>
  <si>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</si>
  <si>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</si>
  <si>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</si>
  <si>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</si>
  <si>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</si>
  <si>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</si>
  <si>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</si>
  <si>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</si>
  <si>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</si>
  <si>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</si>
  <si>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</si>
  <si>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</si>
  <si>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</si>
  <si>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</si>
  <si>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</si>
  <si>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</si>
  <si>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</si>
  <si>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</si>
  <si>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</si>
  <si>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</si>
  <si>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</si>
  <si>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</si>
  <si>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</si>
  <si>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</si>
  <si>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</si>
  <si>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</si>
  <si>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</si>
  <si>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</si>
  <si>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</si>
  <si>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</si>
  <si>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</si>
  <si>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</si>
  <si>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</si>
  <si>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</si>
  <si>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</si>
  <si>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</si>
  <si>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</si>
  <si>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</si>
  <si>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</si>
  <si>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</si>
  <si>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</si>
  <si>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</si>
  <si>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</si>
  <si>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</si>
  <si>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</si>
  <si>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</si>
  <si>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</si>
  <si>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</si>
  <si>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</si>
  <si>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</si>
  <si>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</si>
  <si>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</si>
  <si>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</si>
  <si>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</si>
  <si>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</si>
  <si>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</si>
  <si>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</si>
  <si>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</si>
  <si>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</si>
  <si>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</si>
  <si>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</si>
  <si>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</si>
  <si>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</si>
  <si>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</si>
  <si>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</si>
  <si>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</si>
  <si>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</si>
  <si>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</si>
  <si>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</si>
  <si>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</si>
  <si>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</si>
  <si>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</si>
  <si>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</si>
  <si>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</si>
  <si>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</si>
  <si>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</si>
  <si>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</si>
  <si>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</si>
  <si>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</si>
  <si>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</si>
  <si>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</si>
  <si>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</si>
  <si>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</si>
  <si>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</si>
  <si>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</si>
  <si>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</si>
  <si>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</si>
  <si>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</si>
  <si>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</si>
  <si>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</si>
  <si>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</si>
  <si>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</si>
  <si>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</si>
  <si>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</si>
  <si>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</si>
  <si>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</si>
  <si>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</si>
  <si>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</si>
  <si>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</si>
  <si>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</si>
  <si>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</si>
  <si>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</si>
  <si>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</si>
  <si>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</si>
  <si>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</si>
  <si>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</si>
  <si>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</si>
  <si>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</si>
  <si>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</si>
  <si>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</si>
  <si>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</si>
  <si>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</si>
  <si>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</si>
  <si>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</si>
  <si>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</si>
  <si>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</si>
  <si>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</si>
  <si>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</si>
  <si>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</si>
  <si>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</si>
  <si>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</si>
  <si>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</si>
  <si>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</si>
  <si>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</si>
  <si>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</si>
  <si>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</si>
  <si>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</si>
  <si>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</si>
  <si>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</si>
  <si>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</si>
  <si>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</si>
  <si>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</si>
  <si>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</si>
  <si>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</si>
  <si>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</si>
  <si>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</si>
  <si>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</si>
  <si>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</si>
  <si>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</si>
  <si>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</si>
  <si>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</si>
  <si>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</si>
  <si>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</si>
  <si>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</si>
  <si>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</si>
  <si>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</si>
  <si>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</si>
  <si>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</si>
  <si>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</si>
  <si>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</si>
  <si>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</si>
  <si>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</si>
  <si>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</si>
  <si>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</si>
  <si>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</si>
  <si>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</si>
  <si>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</si>
  <si>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</si>
  <si>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</si>
  <si>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</si>
  <si>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</si>
  <si>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</si>
  <si>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</si>
  <si>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</si>
  <si>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</si>
  <si>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</si>
  <si>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</si>
  <si>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</si>
  <si>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</si>
  <si>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</si>
  <si>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</si>
  <si>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</si>
  <si>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</si>
  <si>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</si>
  <si>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</si>
  <si>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</si>
  <si>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</si>
  <si>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</si>
  <si>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</si>
  <si>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</si>
  <si>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</si>
  <si>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</si>
  <si>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</si>
  <si>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</si>
  <si>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</si>
  <si>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</si>
  <si>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</si>
  <si>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</si>
  <si>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</si>
  <si>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</si>
  <si>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</si>
  <si>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</si>
  <si>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</si>
  <si>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</si>
  <si>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</si>
  <si>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</si>
  <si>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</si>
  <si>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</si>
  <si>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</si>
  <si>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</si>
  <si>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</si>
  <si>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</si>
  <si>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</si>
  <si>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</si>
  <si>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</si>
  <si>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</si>
  <si>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</si>
  <si>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</si>
  <si>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</si>
  <si>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</si>
  <si>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</si>
  <si>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</si>
  <si>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</si>
  <si>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</si>
  <si>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</si>
  <si>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</si>
  <si>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</si>
  <si>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</si>
  <si>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</si>
  <si>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</si>
  <si>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</si>
  <si>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</si>
  <si>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</si>
  <si>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</si>
  <si>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</si>
  <si>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</si>
  <si>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</si>
  <si>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</si>
  <si>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</si>
  <si>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</si>
  <si>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</si>
  <si>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</si>
  <si>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</si>
  <si>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</si>
  <si>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</si>
  <si>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</si>
  <si>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</si>
  <si>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</si>
  <si>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</si>
  <si>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</si>
  <si>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</si>
  <si>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</si>
  <si>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</si>
  <si>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</si>
  <si>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</si>
  <si>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</si>
  <si>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</si>
  <si>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</si>
  <si>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</si>
  <si>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</si>
  <si>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</si>
  <si>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</si>
  <si>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</si>
  <si>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</si>
  <si>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</si>
  <si>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</si>
  <si>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</si>
  <si>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</si>
  <si>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</si>
  <si>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</si>
  <si>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</si>
  <si>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</si>
  <si>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</si>
  <si>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</si>
  <si>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</si>
  <si>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</si>
  <si>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</si>
  <si>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</si>
  <si>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</si>
  <si>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</si>
  <si>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</si>
  <si>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</si>
  <si>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</si>
  <si>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</si>
  <si>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</si>
  <si>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</si>
  <si>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</si>
  <si>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</si>
  <si>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</si>
  <si>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</si>
  <si>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</si>
  <si>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</si>
  <si>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</si>
  <si>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</si>
  <si>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</si>
  <si>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</si>
  <si>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</si>
  <si>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</si>
  <si>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</si>
  <si>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</si>
  <si>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</si>
  <si>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</si>
  <si>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</si>
  <si>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</si>
  <si>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</si>
  <si>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</si>
  <si>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</si>
  <si>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</si>
  <si>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</si>
  <si>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</si>
  <si>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</si>
  <si>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</si>
  <si>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</si>
  <si>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</si>
  <si>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</si>
  <si>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</si>
  <si>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</si>
  <si>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</si>
  <si>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</si>
  <si>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</si>
  <si>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</si>
  <si>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</si>
  <si>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</si>
  <si>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</si>
  <si>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</si>
  <si>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</si>
  <si>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</si>
  <si>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</si>
  <si>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</si>
  <si>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</si>
  <si>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</si>
  <si>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</si>
  <si>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</si>
  <si>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</si>
  <si>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</si>
  <si>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</si>
  <si>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</si>
  <si>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</si>
  <si>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</si>
  <si>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</si>
  <si>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</si>
  <si>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</si>
  <si>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</si>
  <si>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</si>
  <si>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</si>
  <si>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</si>
  <si>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</si>
  <si>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</si>
  <si>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</si>
  <si>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</si>
  <si>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</si>
  <si>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</si>
  <si>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</si>
  <si>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</si>
  <si>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</si>
  <si>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</si>
  <si>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</si>
  <si>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</si>
  <si>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</si>
  <si>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</si>
  <si>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</si>
  <si>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</si>
  <si>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</si>
  <si>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</si>
  <si>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</si>
  <si>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</si>
  <si>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</si>
  <si>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</si>
  <si>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</si>
  <si>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</si>
  <si>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</si>
  <si>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</si>
  <si>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</si>
  <si>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</si>
  <si>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</si>
  <si>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</si>
  <si>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</si>
  <si>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</si>
  <si>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</si>
  <si>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</si>
  <si>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</si>
  <si>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</si>
  <si>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</si>
  <si>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</si>
  <si>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</si>
  <si>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</si>
  <si>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</si>
  <si>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</si>
  <si>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</si>
  <si>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</si>
  <si>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</si>
  <si>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</si>
  <si>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</si>
  <si>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</si>
  <si>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</si>
  <si>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</si>
  <si>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</si>
  <si>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</si>
  <si>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</si>
  <si>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</si>
  <si>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</si>
  <si>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</si>
  <si>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</si>
  <si>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</si>
  <si>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</si>
  <si>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</si>
  <si>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</si>
  <si>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</si>
  <si>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</si>
  <si>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</si>
  <si>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</si>
  <si>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</si>
  <si>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</si>
  <si>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</si>
  <si>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</si>
  <si>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</si>
  <si>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</si>
  <si>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</si>
  <si>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</si>
  <si>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</si>
  <si>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</si>
  <si>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</si>
  <si>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</si>
  <si>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</si>
  <si>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</si>
  <si>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</si>
  <si>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</si>
  <si>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</si>
  <si>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</si>
  <si>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</si>
  <si>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</si>
  <si>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</si>
  <si>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</si>
  <si>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</si>
  <si>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</si>
  <si>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</si>
  <si>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</si>
  <si>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</si>
  <si>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</si>
  <si>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</si>
  <si>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</si>
  <si>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</si>
  <si>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</si>
  <si>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</si>
  <si>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</si>
  <si>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</si>
  <si>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</si>
  <si>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</si>
  <si>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</si>
  <si>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</si>
  <si>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</si>
  <si>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</si>
  <si>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</si>
  <si>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</si>
  <si>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</si>
  <si>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</si>
  <si>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</si>
  <si>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</si>
  <si>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</si>
  <si>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</si>
  <si>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</si>
  <si>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</si>
  <si>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</si>
  <si>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</si>
  <si>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</si>
  <si>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</si>
  <si>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</si>
  <si>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</si>
  <si>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</si>
  <si>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</si>
  <si>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</si>
  <si>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</si>
  <si>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</si>
  <si>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</si>
  <si>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</si>
  <si>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</si>
  <si>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</si>
  <si>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</si>
  <si>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</si>
  <si>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</si>
  <si>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</si>
  <si>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</si>
  <si>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</si>
  <si>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</si>
  <si>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</si>
  <si>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</si>
  <si>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</si>
  <si>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</si>
  <si>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</si>
  <si>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</si>
  <si>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</si>
  <si>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</si>
  <si>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</si>
  <si>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</si>
  <si>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</si>
  <si>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</si>
  <si>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</si>
  <si>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</si>
  <si>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</si>
  <si>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</si>
  <si>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</si>
  <si>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</si>
  <si>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</si>
  <si>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</si>
  <si>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</si>
  <si>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</si>
  <si>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</si>
  <si>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</si>
  <si>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</si>
  <si>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</si>
  <si>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</si>
  <si>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</si>
  <si>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</si>
  <si>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</si>
  <si>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</si>
  <si>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</si>
  <si>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</si>
  <si>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</si>
  <si>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</si>
  <si>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</si>
  <si>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</si>
  <si>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</si>
  <si>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</si>
  <si>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</si>
  <si>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</si>
  <si>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</si>
  <si>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</si>
  <si>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</si>
  <si>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</si>
  <si>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</si>
  <si>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</si>
  <si>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</si>
  <si>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</si>
  <si>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</si>
  <si>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</si>
  <si>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</si>
  <si>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</si>
  <si>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</si>
  <si>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</si>
  <si>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</si>
  <si>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</si>
  <si>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</si>
  <si>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</si>
  <si>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</si>
  <si>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</si>
  <si>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</si>
  <si>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</si>
  <si>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</si>
  <si>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</si>
  <si>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</si>
  <si>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</si>
  <si>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</si>
  <si>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</si>
  <si>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</si>
  <si>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</si>
  <si>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</si>
  <si>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</si>
  <si>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</si>
  <si>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</si>
  <si>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</si>
  <si>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</si>
  <si>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</si>
  <si>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</si>
  <si>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</si>
  <si>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</si>
  <si>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</si>
  <si>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</si>
  <si>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</si>
  <si>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</si>
  <si>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</si>
  <si>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</si>
  <si>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</si>
  <si>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</si>
  <si>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</si>
  <si>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</si>
  <si>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</si>
  <si>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</si>
  <si>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</si>
  <si>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</si>
  <si>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</si>
  <si>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</si>
  <si>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</si>
  <si>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</si>
  <si>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</si>
  <si>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</si>
  <si>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</si>
  <si>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</si>
  <si>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</si>
  <si>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</si>
  <si>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</si>
  <si>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</si>
  <si>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</si>
  <si>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</si>
  <si>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</si>
  <si>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</si>
  <si>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</si>
  <si>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</si>
  <si>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</si>
  <si>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</si>
  <si>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</si>
  <si>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</si>
  <si>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</si>
  <si>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</si>
  <si>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</si>
  <si>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</si>
  <si>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</si>
  <si>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</si>
  <si>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</si>
  <si>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</si>
  <si>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</si>
  <si>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</si>
  <si>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</si>
  <si>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</si>
  <si>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</si>
  <si>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</si>
  <si>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</si>
  <si>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</si>
  <si>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</si>
  <si>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</si>
  <si>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</si>
  <si>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</si>
  <si>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</si>
  <si>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</si>
  <si>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</si>
  <si>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</si>
  <si>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</si>
  <si>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</si>
  <si>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</si>
  <si>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</si>
  <si>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</si>
  <si>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</si>
  <si>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</si>
  <si>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</si>
  <si>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</si>
  <si>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</si>
  <si>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</si>
  <si>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</si>
  <si>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</si>
  <si>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</si>
  <si>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</si>
  <si>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</si>
  <si>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</si>
  <si>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</si>
  <si>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</si>
  <si>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</si>
  <si>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</si>
  <si>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</si>
  <si>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</si>
  <si>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</si>
  <si>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</si>
  <si>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</si>
  <si>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</si>
  <si>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</si>
  <si>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</si>
  <si>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</si>
  <si>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</si>
  <si>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</si>
  <si>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</si>
  <si>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</si>
  <si>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</si>
  <si>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</si>
  <si>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</si>
  <si>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</si>
  <si>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</si>
  <si>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</si>
  <si>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</si>
  <si>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</si>
  <si>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</si>
  <si>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</si>
  <si>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</si>
  <si>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</si>
  <si>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</si>
  <si>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</si>
  <si>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</si>
  <si>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</si>
  <si>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</si>
  <si>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</si>
  <si>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</si>
  <si>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</si>
  <si>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</si>
  <si>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</si>
  <si>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</si>
  <si>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</si>
  <si>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</si>
  <si>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</si>
  <si>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</si>
  <si>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</si>
  <si>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</si>
  <si>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</si>
  <si>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</si>
  <si>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</si>
  <si>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</si>
  <si>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</si>
  <si>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</si>
  <si>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</si>
  <si>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</si>
  <si>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</si>
  <si>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</si>
  <si>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</si>
  <si>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</si>
  <si>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</si>
  <si>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</si>
  <si>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</si>
  <si>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</si>
  <si>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</si>
  <si>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</si>
  <si>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</si>
  <si>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</si>
  <si>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</si>
  <si>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</si>
  <si>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</si>
  <si>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</si>
  <si>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</si>
  <si>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</si>
  <si>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</si>
  <si>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</si>
  <si>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</si>
  <si>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</si>
  <si>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</si>
  <si>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</si>
  <si>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</si>
  <si>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</si>
  <si>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AVILA</t>
  </si>
  <si>
    <t>Resumenes por Partidos Judiciales</t>
  </si>
  <si>
    <t>PIEDRAHITA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</si>
</sst>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0wVnSdUBeTd48TgeF5qlA66dhR/nwcthFSAwcL3vp2Mk+yBxYbbvUUr+i1MKuMZh+FpP0KcLNjRXr3OFc9YJw==" saltValue="IpldNzJSRUxeuZO7i5GK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103.8125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332</v>
      </c>
      <c r="D16" s="224">
        <f>IF(ISNUMBER(IF(D_I="SI",Datos!I16,Datos!I16+Datos!AC16)),IF(D_I="SI",Datos!I16,Datos!I16+Datos!AC16)," - ")</f>
        <v>332</v>
      </c>
      <c r="E16" s="225">
        <f>IF(ISNUMBER(IF(D_I="SI",Datos!J16,Datos!J16+Datos!AD16)),IF(D_I="SI",Datos!J16,Datos!J16+Datos!AD16)," - ")</f>
        <v>76</v>
      </c>
      <c r="F16" s="225">
        <f>IF(ISNUMBER(IF(D_I="SI",Datos!K16,Datos!K16+Datos!AE16)),IF(D_I="SI",Datos!K16,Datos!K16+Datos!AE16)," - ")</f>
        <v>77</v>
      </c>
      <c r="G16" s="1033" t="str">
        <f>IF(Datos!E16&lt;&gt;"",Datos!E16,Datos!D16)</f>
        <v>04</v>
      </c>
      <c r="H16" s="226">
        <f>IF(ISNUMBER(IF(D_I="SI",Datos!L16,Datos!L16+Datos!AF16)),IF(D_I="SI",Datos!L16,Datos!L16+Datos!AF16)," - ")</f>
        <v>331</v>
      </c>
      <c r="I16" s="1043" t="str">
        <f>IF(ISNUMBER(Datos!AS16/Datos!BM16),Datos!AS16/Datos!BM16," - ")</f>
        <v xml:space="preserve"> - </v>
      </c>
      <c r="J16" s="1044">
        <f>IF(ISNUMBER(Datos!BY16/Datos!CN16),Datos!BY16/Datos!CN16," - ")</f>
        <v>0</v>
      </c>
      <c r="K16" s="229">
        <f t="shared" si="3"/>
        <v>-3.0120481927710845E-3</v>
      </c>
      <c r="L16" s="1024">
        <f>IF(ISNUMBER(NºAsuntos!I16/NºAsuntos!G16),(NºAsuntos!I16/NºAsuntos!G16)*11," - ")</f>
        <v>47.285714285714285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v>
      </c>
      <c r="D17" s="224">
        <f>IF(ISNUMBER(IF(D_I="SI",Datos!I17,Datos!I17+Datos!AC17)),IF(D_I="SI",Datos!I17,Datos!I17+Datos!AC17)," - ")</f>
        <v>18</v>
      </c>
      <c r="E17" s="225">
        <f>IF(ISNUMBER(IF(D_I="SI",Datos!J17,Datos!J17+Datos!AD17)),IF(D_I="SI",Datos!J17,Datos!J17+Datos!AD17)," - ")</f>
        <v>8</v>
      </c>
      <c r="F17" s="225">
        <f>IF(ISNUMBER(IF(D_I="SI",Datos!K17,Datos!K17+Datos!AE17)),IF(D_I="SI",Datos!K17,Datos!K17+Datos!AE17)," - ")</f>
        <v>1</v>
      </c>
      <c r="G17" s="1033" t="str">
        <f>IF(Datos!E17&lt;&gt;"",Datos!E17,Datos!D17)</f>
        <v>37</v>
      </c>
      <c r="H17" s="226">
        <f>IF(ISNUMBER(IF(D_I="SI",Datos!L17,Datos!L17+Datos!AF17)),IF(D_I="SI",Datos!L17,Datos!L17+Datos!AF17)," - ")</f>
        <v>25</v>
      </c>
      <c r="I17" s="1043" t="str">
        <f>IF(ISNUMBER(Datos!AS17/Datos!BM17),Datos!AS17/Datos!BM17," - ")</f>
        <v xml:space="preserve"> - </v>
      </c>
      <c r="J17" s="1044" t="str">
        <f>IF(ISNUMBER((Datos!BY17+Datos!BZ17)/Datos!CN17),(Datos!BY17+Datos!BZ17)/Datos!CN17," - ")</f>
        <v xml:space="preserve"> - </v>
      </c>
      <c r="K17" s="229">
        <f t="shared" si="3"/>
        <v>0.3888888888888889</v>
      </c>
      <c r="L17" s="1024">
        <f>IF(ISNUMBER(NºAsuntos!I17/NºAsuntos!G17),(NºAsuntos!I17/NºAsuntos!G17)*11," - ")</f>
        <v>275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350</v>
      </c>
      <c r="D18" s="1048">
        <f>SUBTOTAL(9,D15:D17)</f>
        <v>350</v>
      </c>
      <c r="E18" s="1049">
        <f>SUBTOTAL(9,E15:E17)</f>
        <v>84</v>
      </c>
      <c r="F18" s="1049">
        <f>SUBTOTAL(9,F15:F17)</f>
        <v>78</v>
      </c>
      <c r="G18" s="1051" t="str">
        <f ca="1">INDIRECT(CONCATENATE("G",ROW()-1))</f>
        <v>37</v>
      </c>
      <c r="H18" s="1052">
        <f ca="1">SUMIF(G$14:G17,G18,H$14:H17)</f>
        <v>25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350</v>
      </c>
      <c r="D19" s="1070">
        <f>SUBTOTAL(9,D9:D18)</f>
        <v>350</v>
      </c>
      <c r="E19" s="1071">
        <f>SUBTOTAL(9,E9:E18)</f>
        <v>84</v>
      </c>
      <c r="F19" s="1071">
        <f>SUBTOTAL(9,F9:F18)</f>
        <v>78</v>
      </c>
      <c r="G19" s="1072"/>
      <c r="H19" s="1073">
        <f ca="1">SUMIF(B9:B18,"TOTAL",H9:H18)</f>
        <v>25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ki1p5HrQvHBrlNDtGuuTa2qCv7ZttXcrRZz/9/x5tvbdc+ba1iaUT7Obf/gLaeJCqx6G7G+phnlEkvYSH9Drg==" saltValue="za3npKO347224j3+cYB7K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Z319l1vL1Grkn+MMfy+D4W0bNirtpdKDMBnNqoRMlAaPkQlHm2ltSJDVvM7a5eCdAwhb6KhnqsPXyLD5ddLpw==" saltValue="0IkKCNyqJZPajI8r6w0P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444</v>
      </c>
      <c r="J12" s="182">
        <v>1</v>
      </c>
      <c r="K12" s="182">
        <v>47</v>
      </c>
      <c r="L12" s="182">
        <v>398</v>
      </c>
      <c r="M12" s="182">
        <v>6</v>
      </c>
      <c r="N12" s="182">
        <v>0</v>
      </c>
      <c r="O12" s="180">
        <v>32</v>
      </c>
      <c r="P12" s="182">
        <v>0</v>
      </c>
      <c r="Q12" s="182">
        <v>6</v>
      </c>
      <c r="R12" s="182">
        <v>184</v>
      </c>
      <c r="S12" s="182">
        <v>434</v>
      </c>
      <c r="T12" s="182">
        <v>112</v>
      </c>
      <c r="U12" s="182">
        <v>54</v>
      </c>
      <c r="V12" s="182">
        <v>492</v>
      </c>
      <c r="W12" s="182">
        <v>17</v>
      </c>
      <c r="X12" s="188">
        <v>24</v>
      </c>
      <c r="Y12" s="190">
        <v>56</v>
      </c>
      <c r="Z12" s="180">
        <v>0</v>
      </c>
      <c r="AA12" s="180">
        <v>1</v>
      </c>
      <c r="AB12" s="180">
        <v>55</v>
      </c>
      <c r="AC12" s="182">
        <v>0</v>
      </c>
      <c r="AD12" s="182">
        <v>0</v>
      </c>
      <c r="AE12" s="182">
        <v>0</v>
      </c>
      <c r="AF12" s="188">
        <v>0</v>
      </c>
      <c r="AG12" s="201">
        <v>46</v>
      </c>
      <c r="AH12" s="182">
        <v>5</v>
      </c>
      <c r="AI12" s="182">
        <v>9</v>
      </c>
      <c r="AJ12" s="202">
        <v>42</v>
      </c>
      <c r="AK12" s="181">
        <v>0</v>
      </c>
      <c r="AL12" s="182">
        <v>0</v>
      </c>
      <c r="AM12" s="182">
        <v>0</v>
      </c>
      <c r="AN12" s="188">
        <v>0</v>
      </c>
      <c r="AO12" s="258">
        <v>1</v>
      </c>
      <c r="AP12" s="154">
        <v>1</v>
      </c>
      <c r="AQ12" s="154">
        <v>1</v>
      </c>
      <c r="AR12" s="153">
        <v>1</v>
      </c>
      <c r="AS12" s="339" t="s">
        <v>794</v>
      </c>
      <c r="AT12" s="202"/>
      <c r="AU12" s="201"/>
      <c r="AV12" s="202"/>
      <c r="AW12" s="201"/>
      <c r="AX12" s="202"/>
      <c r="AY12" s="126">
        <f t="shared" si="1"/>
        <v>480</v>
      </c>
      <c r="AZ12" s="127">
        <f t="shared" si="1"/>
        <v>117</v>
      </c>
      <c r="BA12" s="127">
        <f t="shared" si="1"/>
        <v>63</v>
      </c>
      <c r="BB12" s="127">
        <f t="shared" si="1"/>
        <v>534</v>
      </c>
      <c r="BC12" s="125">
        <f>IF(ISNUMBER(X12),X12," - ")</f>
        <v>24</v>
      </c>
      <c r="BD12" s="126">
        <f t="shared" si="2"/>
        <v>0.53846153846153844</v>
      </c>
      <c r="BE12" s="127">
        <f t="shared" si="3"/>
        <v>8.4761904761904763</v>
      </c>
      <c r="BF12" s="127">
        <f t="shared" si="4"/>
        <v>0.38095238095238093</v>
      </c>
      <c r="BG12" s="195">
        <f t="shared" si="5"/>
        <v>9.4761904761904763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444</v>
      </c>
      <c r="J13" s="183">
        <f t="shared" si="6"/>
        <v>1</v>
      </c>
      <c r="K13" s="183">
        <f t="shared" si="6"/>
        <v>47</v>
      </c>
      <c r="L13" s="183">
        <f t="shared" si="6"/>
        <v>398</v>
      </c>
      <c r="M13" s="183">
        <f t="shared" si="6"/>
        <v>6</v>
      </c>
      <c r="N13" s="183">
        <f t="shared" si="6"/>
        <v>0</v>
      </c>
      <c r="O13" s="183">
        <f t="shared" si="6"/>
        <v>32</v>
      </c>
      <c r="P13" s="183">
        <f t="shared" si="6"/>
        <v>0</v>
      </c>
      <c r="Q13" s="183">
        <f t="shared" si="6"/>
        <v>6</v>
      </c>
      <c r="R13" s="183">
        <f t="shared" si="6"/>
        <v>184</v>
      </c>
      <c r="S13" s="183">
        <f t="shared" si="6"/>
        <v>435</v>
      </c>
      <c r="T13" s="183">
        <f t="shared" si="6"/>
        <v>112</v>
      </c>
      <c r="U13" s="183">
        <f t="shared" si="6"/>
        <v>54</v>
      </c>
      <c r="V13" s="183">
        <f t="shared" si="6"/>
        <v>493</v>
      </c>
      <c r="W13" s="183">
        <f t="shared" si="6"/>
        <v>17</v>
      </c>
      <c r="X13" s="183">
        <f t="shared" si="6"/>
        <v>24</v>
      </c>
      <c r="Y13" s="183">
        <f t="shared" si="6"/>
        <v>56</v>
      </c>
      <c r="Z13" s="183">
        <f t="shared" si="6"/>
        <v>0</v>
      </c>
      <c r="AA13" s="183">
        <f t="shared" si="6"/>
        <v>1</v>
      </c>
      <c r="AB13" s="183">
        <f t="shared" si="6"/>
        <v>55</v>
      </c>
      <c r="AC13" s="183">
        <f t="shared" si="6"/>
        <v>0</v>
      </c>
      <c r="AD13" s="183">
        <f t="shared" si="6"/>
        <v>0</v>
      </c>
      <c r="AE13" s="183">
        <f t="shared" si="6"/>
        <v>0</v>
      </c>
      <c r="AF13" s="183">
        <f>SUBTOTAL(9,AF9:AF12)</f>
        <v>0</v>
      </c>
      <c r="AG13" s="183">
        <f t="shared" ref="AG13:AT13" si="7">SUBTOTAL(9,AG8:AG12)</f>
        <v>46</v>
      </c>
      <c r="AH13" s="183">
        <f t="shared" si="7"/>
        <v>5</v>
      </c>
      <c r="AI13" s="183">
        <f t="shared" si="7"/>
        <v>9</v>
      </c>
      <c r="AJ13" s="183">
        <f t="shared" si="7"/>
        <v>42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481</v>
      </c>
      <c r="AZ13" s="183">
        <f>SUBTOTAL(9,AZ8:AZ12)</f>
        <v>117</v>
      </c>
      <c r="BA13" s="183">
        <f>SUBTOTAL(9,BA8:BA12)</f>
        <v>63</v>
      </c>
      <c r="BB13" s="183">
        <f>SUBTOTAL(9,BB8:BB12)</f>
        <v>535</v>
      </c>
      <c r="BC13" s="183">
        <f>SUBTOTAL(9,BC8:BC12)</f>
        <v>24</v>
      </c>
      <c r="BD13" s="204">
        <f>IF(ISNUMBER(BA13/AZ13),BA13/AZ13," - ")</f>
        <v>0.53846153846153844</v>
      </c>
      <c r="BE13" s="205">
        <f>IF(ISNUMBER(BB13/BA13),BB13/BA13, " - ")</f>
        <v>8.4920634920634921</v>
      </c>
      <c r="BF13" s="205">
        <f>IF(ISNUMBER(BC13/BA13),BC13/BA13, " - ")</f>
        <v>0.38095238095238093</v>
      </c>
      <c r="BG13" s="206">
        <f>IF(ISNUMBER((AY13+AZ13)/BA13),(AY13+AZ13)/BA13," - ")</f>
        <v>9.4920634920634921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332</v>
      </c>
      <c r="J16" s="182">
        <v>76</v>
      </c>
      <c r="K16" s="182">
        <v>77</v>
      </c>
      <c r="L16" s="182">
        <v>331</v>
      </c>
      <c r="M16" s="182">
        <v>19</v>
      </c>
      <c r="N16" s="182">
        <v>50</v>
      </c>
      <c r="O16" s="180">
        <v>0</v>
      </c>
      <c r="P16" s="182">
        <v>0</v>
      </c>
      <c r="Q16" s="182">
        <v>0</v>
      </c>
      <c r="R16" s="182">
        <v>48</v>
      </c>
      <c r="S16" s="182">
        <v>271</v>
      </c>
      <c r="T16" s="182">
        <v>79</v>
      </c>
      <c r="U16" s="182">
        <v>45</v>
      </c>
      <c r="V16" s="182">
        <v>305</v>
      </c>
      <c r="W16" s="182">
        <v>0</v>
      </c>
      <c r="X16" s="188">
        <v>45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271</v>
      </c>
      <c r="AZ16" s="127">
        <f t="shared" si="9"/>
        <v>79</v>
      </c>
      <c r="BA16" s="127">
        <f t="shared" si="9"/>
        <v>45</v>
      </c>
      <c r="BB16" s="127">
        <f t="shared" si="9"/>
        <v>305</v>
      </c>
      <c r="BC16" s="125">
        <f>IF(ISNUMBER(W16),W16," - ")</f>
        <v>0</v>
      </c>
      <c r="BD16" s="126">
        <f t="shared" ref="BD16" si="11">IF(ISNUMBER(BA16/AZ16),BA16/AZ16," - ")</f>
        <v>0.569620253164557</v>
      </c>
      <c r="BE16" s="127">
        <f t="shared" ref="BE16" si="12">IF(ISNUMBER(BB16/BA16),BB16/BA16, " - ")</f>
        <v>6.7777777777777777</v>
      </c>
      <c r="BF16" s="127">
        <f t="shared" ref="BF16" si="13">IF(ISNUMBER(BC16/BA16),BC16/BA16, " - ")</f>
        <v>0</v>
      </c>
      <c r="BG16" s="195">
        <f t="shared" si="10"/>
        <v>7.7777777777777777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v>
      </c>
      <c r="J17" s="182">
        <v>8</v>
      </c>
      <c r="K17" s="182">
        <v>1</v>
      </c>
      <c r="L17" s="182">
        <v>25</v>
      </c>
      <c r="M17" s="182">
        <v>0</v>
      </c>
      <c r="N17" s="182">
        <v>6</v>
      </c>
      <c r="O17" s="182">
        <v>0</v>
      </c>
      <c r="P17" s="182">
        <v>0</v>
      </c>
      <c r="Q17" s="182">
        <v>0</v>
      </c>
      <c r="R17" s="182">
        <v>0</v>
      </c>
      <c r="S17" s="182">
        <v>15</v>
      </c>
      <c r="T17" s="182">
        <v>2</v>
      </c>
      <c r="U17" s="182">
        <v>0</v>
      </c>
      <c r="V17" s="182">
        <v>17</v>
      </c>
      <c r="W17" s="182">
        <v>0</v>
      </c>
      <c r="X17" s="188">
        <v>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v>
      </c>
      <c r="AZ17" s="129">
        <f t="shared" si="14"/>
        <v>2</v>
      </c>
      <c r="BA17" s="129">
        <f t="shared" si="14"/>
        <v>0</v>
      </c>
      <c r="BB17" s="129">
        <f t="shared" si="14"/>
        <v>17</v>
      </c>
      <c r="BC17" s="125">
        <f>IF(ISNUMBER(W17),W17," - ")</f>
        <v>0</v>
      </c>
      <c r="BD17" s="126">
        <f>IF(ISNUMBER(BA17/AZ17),BA17/AZ17," - ")</f>
        <v>0</v>
      </c>
      <c r="BE17" s="127" t="str">
        <f>IF(ISNUMBER(BB17/BA17),BB17/BA17, " - ")</f>
        <v xml:space="preserve"> - </v>
      </c>
      <c r="BF17" s="127" t="str">
        <f>IF(ISNUMBER(BC17/BA17),BC17/BA17, " - ")</f>
        <v xml:space="preserve"> - </v>
      </c>
      <c r="BG17" s="195" t="str">
        <f>IF(ISNUMBER((AY17+AZ17)/BA17),(AY17+AZ17)/BA17," - ")</f>
        <v xml:space="preserve"> - </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350</v>
      </c>
      <c r="J18" s="183">
        <f t="shared" si="15"/>
        <v>84</v>
      </c>
      <c r="K18" s="183">
        <f t="shared" si="15"/>
        <v>78</v>
      </c>
      <c r="L18" s="183">
        <f t="shared" si="15"/>
        <v>356</v>
      </c>
      <c r="M18" s="183">
        <f t="shared" si="15"/>
        <v>19</v>
      </c>
      <c r="N18" s="183">
        <f t="shared" si="15"/>
        <v>56</v>
      </c>
      <c r="O18" s="183">
        <f t="shared" si="15"/>
        <v>0</v>
      </c>
      <c r="P18" s="183">
        <f t="shared" si="15"/>
        <v>0</v>
      </c>
      <c r="Q18" s="183">
        <f t="shared" si="15"/>
        <v>0</v>
      </c>
      <c r="R18" s="183">
        <f t="shared" si="15"/>
        <v>48</v>
      </c>
      <c r="S18" s="183">
        <f t="shared" si="15"/>
        <v>286</v>
      </c>
      <c r="T18" s="183">
        <f t="shared" si="15"/>
        <v>81</v>
      </c>
      <c r="U18" s="183">
        <f t="shared" si="15"/>
        <v>45</v>
      </c>
      <c r="V18" s="183">
        <f t="shared" si="15"/>
        <v>322</v>
      </c>
      <c r="W18" s="183">
        <f t="shared" si="15"/>
        <v>0</v>
      </c>
      <c r="X18" s="183">
        <f t="shared" si="15"/>
        <v>46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286</v>
      </c>
      <c r="AZ18" s="183">
        <f>SUBTOTAL(9,AZ14:AZ17)</f>
        <v>81</v>
      </c>
      <c r="BA18" s="183">
        <f>SUBTOTAL(9,BA14:BA17)</f>
        <v>45</v>
      </c>
      <c r="BB18" s="183">
        <f>SUBTOTAL(9,BB14:BB17)</f>
        <v>322</v>
      </c>
      <c r="BC18" s="183">
        <f>SUBTOTAL(9,BC14:BC17)</f>
        <v>0</v>
      </c>
      <c r="BD18" s="204">
        <f>IF(ISNUMBER(BA18/AZ18),BA18/AZ18," - ")</f>
        <v>0.55555555555555558</v>
      </c>
      <c r="BE18" s="205">
        <f>IF(ISNUMBER(BB18/BA18),BB18/BA18, " - ")</f>
        <v>7.1555555555555559</v>
      </c>
      <c r="BF18" s="205">
        <f>IF(ISNUMBER(BC18/BA18),BC18/BA18, " - ")</f>
        <v>0</v>
      </c>
      <c r="BG18" s="206">
        <f>IF(ISNUMBER((AY18+AZ18)/BA18),(AY18+AZ18)/BA18," - ")</f>
        <v>8.155555555555555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794</v>
      </c>
      <c r="J19" s="134">
        <f t="shared" si="18"/>
        <v>85</v>
      </c>
      <c r="K19" s="134">
        <f t="shared" si="18"/>
        <v>125</v>
      </c>
      <c r="L19" s="134">
        <f t="shared" si="18"/>
        <v>754</v>
      </c>
      <c r="M19" s="134">
        <f t="shared" si="18"/>
        <v>25</v>
      </c>
      <c r="N19" s="134">
        <f t="shared" si="18"/>
        <v>56</v>
      </c>
      <c r="O19" s="134">
        <f t="shared" si="18"/>
        <v>32</v>
      </c>
      <c r="P19" s="134">
        <f t="shared" si="18"/>
        <v>0</v>
      </c>
      <c r="Q19" s="134">
        <f t="shared" si="18"/>
        <v>6</v>
      </c>
      <c r="R19" s="134">
        <f t="shared" si="18"/>
        <v>232</v>
      </c>
      <c r="S19" s="134">
        <f t="shared" si="18"/>
        <v>721</v>
      </c>
      <c r="T19" s="134">
        <f t="shared" si="18"/>
        <v>193</v>
      </c>
      <c r="U19" s="134">
        <f t="shared" si="18"/>
        <v>99</v>
      </c>
      <c r="V19" s="134">
        <f t="shared" si="18"/>
        <v>815</v>
      </c>
      <c r="W19" s="134">
        <f t="shared" si="18"/>
        <v>17</v>
      </c>
      <c r="X19" s="134">
        <f t="shared" si="18"/>
        <v>70</v>
      </c>
      <c r="Y19" s="134">
        <f t="shared" si="18"/>
        <v>56</v>
      </c>
      <c r="Z19" s="134">
        <f t="shared" si="18"/>
        <v>0</v>
      </c>
      <c r="AA19" s="134">
        <f t="shared" si="18"/>
        <v>1</v>
      </c>
      <c r="AB19" s="134">
        <f t="shared" si="18"/>
        <v>55</v>
      </c>
      <c r="AC19" s="134">
        <f t="shared" si="18"/>
        <v>0</v>
      </c>
      <c r="AD19" s="134">
        <f t="shared" si="18"/>
        <v>0</v>
      </c>
      <c r="AE19" s="134">
        <f t="shared" si="18"/>
        <v>0</v>
      </c>
      <c r="AF19" s="134">
        <f t="shared" si="18"/>
        <v>0</v>
      </c>
      <c r="AG19" s="134">
        <f t="shared" si="18"/>
        <v>46</v>
      </c>
      <c r="AH19" s="134">
        <f t="shared" si="18"/>
        <v>5</v>
      </c>
      <c r="AI19" s="134">
        <f t="shared" si="18"/>
        <v>9</v>
      </c>
      <c r="AJ19" s="134">
        <f t="shared" si="18"/>
        <v>42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767</v>
      </c>
      <c r="AZ19" s="134">
        <f>SUBTOTAL(9,AZ9:AZ18)</f>
        <v>198</v>
      </c>
      <c r="BA19" s="134">
        <f>SUBTOTAL(9,BA9:BA18)</f>
        <v>108</v>
      </c>
      <c r="BB19" s="134">
        <f>SUBTOTAL(9,BB9:BB18)</f>
        <v>857</v>
      </c>
      <c r="BC19" s="135">
        <f>SUBTOTAL(9,BC9:BC18)</f>
        <v>24</v>
      </c>
      <c r="BD19" s="212">
        <f>IF(ISNUMBER(BA19/AZ19),BA19/AZ19," - ")</f>
        <v>0.54545454545454541</v>
      </c>
      <c r="BE19" s="209">
        <f>IF(ISNUMBER(BB19/BA19),BB19/BA19, " - ")</f>
        <v>7.9351851851851851</v>
      </c>
      <c r="BF19" s="209">
        <f>IF(ISNUMBER(BC19/BA19),BC19/BA19, " - ")</f>
        <v>0.22222222222222221</v>
      </c>
      <c r="BG19" s="135">
        <f>IF(ISNUMBER((AY19+AZ19)/BA19),(AY19+AZ19)/BA19," - ")</f>
        <v>8.9351851851851851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igCMFcD9/aFsODsiiWfc+W9FDFaKZOyKRGoiZP00Au+3fxlpZEgjbQohNcYvw2cYBGf0/bYRQPiK9Bc+56rKQ==" saltValue="tLUPFqNnGcYL+PZwoyeMB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NZg5VhdiIASOFz5RHsj0kIRN+wmvEsLJeO0zmrrq4GmdHzhBE3IFx/RkBL0h2Ns6pHyexweisVIFGsBdAbtPA==" saltValue="3Bdq3DTSHvgoPVnbB+1u+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AVILA  Resumenes por Partidos Judiciales  PIEDRAHITA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55</v>
      </c>
      <c r="AI12" s="333" t="str">
        <f>IF(ISNUMBER(Datos!CD12),Datos!CD12,"-")</f>
        <v>-</v>
      </c>
      <c r="AJ12" s="333" t="str">
        <f>IF(ISNUMBER(Datos!EN12),Datos!EN12," - ")</f>
        <v xml:space="preserve"> - </v>
      </c>
      <c r="AK12" s="333"/>
      <c r="AL12" s="478"/>
      <c r="AM12" s="334">
        <f>IF(ISNUMBER(Datos!R12),Datos!R12," - ")</f>
        <v>184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v>
      </c>
      <c r="BD12" s="228">
        <f>IF(ISNUMBER(Datos!N12),Datos!N12," - ")</f>
        <v>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48</v>
      </c>
      <c r="BH12" s="259">
        <f>IF(ISNUMBER(((IF(J_V="SI",Datos!L12/Datos!K12,(Datos!L12+Datos!AB12)/(Datos!K12+Datos!AA12)))*11)/factor_trimestre),((IF(J_V="SI",Datos!L12/Datos!K12,(Datos!L12+Datos!AB12)/(Datos!K12+Datos!AA12)))*11)/factor_trimestre," - ")</f>
        <v>18.875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-3.1578947368421054E-2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0</v>
      </c>
      <c r="O13" s="899">
        <f t="shared" si="0"/>
        <v>0</v>
      </c>
      <c r="P13" s="899">
        <f t="shared" si="0"/>
        <v>0</v>
      </c>
      <c r="Q13" s="898">
        <f t="shared" si="0"/>
        <v>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v>
      </c>
      <c r="AD13" s="898">
        <f t="shared" si="1"/>
        <v>0</v>
      </c>
      <c r="AE13" s="898">
        <f t="shared" si="1"/>
        <v>0</v>
      </c>
      <c r="AF13" s="898">
        <f t="shared" si="1"/>
        <v>0</v>
      </c>
      <c r="AG13" s="898">
        <f t="shared" si="1"/>
        <v>0</v>
      </c>
      <c r="AH13" s="898">
        <f t="shared" si="1"/>
        <v>55</v>
      </c>
      <c r="AI13" s="898">
        <f t="shared" si="1"/>
        <v>0</v>
      </c>
      <c r="AJ13" s="898">
        <f t="shared" si="1"/>
        <v>0</v>
      </c>
      <c r="AK13" s="898">
        <f t="shared" si="1"/>
        <v>0</v>
      </c>
      <c r="AL13" s="898">
        <f t="shared" si="1"/>
        <v>0</v>
      </c>
      <c r="AM13" s="898">
        <f t="shared" si="1"/>
        <v>184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v>
      </c>
      <c r="BD13" s="898">
        <f t="shared" si="1"/>
        <v>0</v>
      </c>
      <c r="BE13" s="898">
        <f t="shared" si="1"/>
        <v>0</v>
      </c>
      <c r="BF13" s="898">
        <f t="shared" si="1"/>
        <v>0</v>
      </c>
      <c r="BG13" s="898">
        <f>IF(ISNUMBER(Datos!K13/Datos!J13),Datos!K13/Datos!J13," - ")</f>
        <v>47</v>
      </c>
      <c r="BH13" s="902">
        <f>IF(ISNUMBER(((Datos!L13/Datos!K13)*11)/factor_trimestre),((Datos!L13/Datos!K13)*11)/factor_trimestre," - ")</f>
        <v>16.936170212765958</v>
      </c>
      <c r="BI13" s="898">
        <f>IF(ISNUMBER('Resol  Asuntos'!D13/NºAsuntos!G13),'Resol  Asuntos'!D13/NºAsuntos!G13," - ")</f>
        <v>0.125</v>
      </c>
      <c r="BJ13" s="898" t="str">
        <f>IF(ISNUMBER(Datos!CI13/Datos!CJ13),Datos!CI13/Datos!CJ13," - ")</f>
        <v xml:space="preserve"> - </v>
      </c>
      <c r="BK13" s="898">
        <f>SUBTOTAL(9,BK8:BK12)</f>
        <v>0</v>
      </c>
      <c r="BL13" s="898" t="str">
        <f>IF(ISNUMBER((I13-AB13+L13)/(F13)),(I13-AB13+L13)/(F13)," - ")</f>
        <v xml:space="preserve"> - </v>
      </c>
      <c r="BM13" s="903">
        <f>SUBTOTAL(9,BM9:BM12)</f>
        <v>-3.1578947368421054E-2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332</v>
      </c>
      <c r="G16" s="597">
        <f>IF(ISNUMBER(IF(D_I="SI",Datos!I16,Datos!I16+Datos!AC16)),IF(D_I="SI",Datos!I16,Datos!I16+Datos!AC16)," - ")</f>
        <v>332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77</v>
      </c>
      <c r="AC16" s="225">
        <f>IF(ISNUMBER(Datos!Q16),Datos!Q16," - ")</f>
        <v>0</v>
      </c>
      <c r="AD16" s="333"/>
      <c r="AE16" s="483"/>
      <c r="AF16" s="595">
        <f>IF(ISNUMBER(IF(D_I="SI",Datos!L16,Datos!L16+Datos!AF16)),IF(D_I="SI",Datos!L16,Datos!L16+Datos!AF16)," - ")</f>
        <v>331</v>
      </c>
      <c r="AG16" s="333"/>
      <c r="AH16" s="333"/>
      <c r="AI16" s="333"/>
      <c r="AJ16" s="333"/>
      <c r="AK16" s="333"/>
      <c r="AL16" s="478"/>
      <c r="AM16" s="334">
        <f>IF(ISNUMBER(Datos!R16),Datos!R16," - ")</f>
        <v>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v>
      </c>
      <c r="BD16" s="228">
        <f>IF(ISNUMBER(Datos!N16),Datos!N16," - ")</f>
        <v>50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1.013157894736842</v>
      </c>
      <c r="BH16" s="259">
        <f>IF(ISNUMBER(((IF(D_I="SI",Datos!L16/Datos!K16,(Datos!L16+Datos!AF16)/(Datos!K16+Datos!AE16)))*11)/factor_trimestre),((IF(D_I="SI",Datos!L16/Datos!K16,(Datos!L16+Datos!AF16)/(Datos!K16+Datos!AE16)))*11)/factor_trimestre," - ")</f>
        <v>8.5974025974025974</v>
      </c>
      <c r="BI16" s="242">
        <f>IF(ISNUMBER('Resol  Asuntos'!D16/NºAsuntos!G16),'Resol  Asuntos'!D16/NºAsuntos!G16," - ")</f>
        <v>0.24675324675324675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v>
      </c>
      <c r="AC17" s="225">
        <f>IF(ISNUMBER(Datos!Q17),Datos!Q17," - ")</f>
        <v>0</v>
      </c>
      <c r="AD17" s="333"/>
      <c r="AE17" s="483"/>
      <c r="AF17" s="331">
        <f>IF(ISNUMBER(Datos!L17),Datos!L17,"-")</f>
        <v>25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0.125</v>
      </c>
      <c r="BH17" s="259">
        <f>IF(ISNUMBER(((IF(D_I="SI",Datos!L17/Datos!K17,(Datos!L17+Datos!AF17)/(Datos!K17+Datos!AE17)))*11)/factor_trimestre),((IF(D_I="SI",Datos!L17/Datos!K17,(Datos!L17+Datos!AF17)/(Datos!K17+Datos!AE17)))*11)/factor_trimestre," - ")</f>
        <v>50</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332</v>
      </c>
      <c r="G18" s="897">
        <f>SUBTOTAL(9,G15:G17)</f>
        <v>350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78</v>
      </c>
      <c r="AC18" s="898">
        <f t="shared" si="4"/>
        <v>0</v>
      </c>
      <c r="AD18" s="898">
        <f t="shared" si="4"/>
        <v>0</v>
      </c>
      <c r="AE18" s="898">
        <f t="shared" si="4"/>
        <v>0</v>
      </c>
      <c r="AF18" s="898">
        <f t="shared" si="4"/>
        <v>356</v>
      </c>
      <c r="AG18" s="898">
        <f t="shared" si="4"/>
        <v>0</v>
      </c>
      <c r="AH18" s="898">
        <f t="shared" si="4"/>
        <v>0</v>
      </c>
      <c r="AI18" s="898">
        <f t="shared" si="4"/>
        <v>0</v>
      </c>
      <c r="AJ18" s="898">
        <f t="shared" si="4"/>
        <v>0</v>
      </c>
      <c r="AK18" s="898">
        <f t="shared" si="4"/>
        <v>0</v>
      </c>
      <c r="AL18" s="898">
        <f t="shared" si="4"/>
        <v>0</v>
      </c>
      <c r="AM18" s="898">
        <f t="shared" si="4"/>
        <v>48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v>
      </c>
      <c r="BD18" s="898">
        <f t="shared" si="4"/>
        <v>56</v>
      </c>
      <c r="BE18" s="898">
        <f t="shared" si="4"/>
        <v>0</v>
      </c>
      <c r="BF18" s="898">
        <f t="shared" si="4"/>
        <v>0</v>
      </c>
      <c r="BG18" s="898">
        <f>IF(ISNUMBER(Datos!K18/Datos!J18),Datos!K18/Datos!J18," - ")</f>
        <v>0.9285714285714286</v>
      </c>
      <c r="BH18" s="902">
        <f>IF(ISNUMBER(((Datos!L18/Datos!K18)*11)/factor_trimestre),((Datos!L18/Datos!K18)*11)/factor_trimestre," - ")</f>
        <v>9.1282051282051277</v>
      </c>
      <c r="BI18" s="898">
        <f>SUBTOTAL(9,BI15:BI17)</f>
        <v>0.24675324675324675</v>
      </c>
      <c r="BJ18" s="898">
        <f>SUBTOTAL(9,BJ15:BJ17)</f>
        <v>0</v>
      </c>
      <c r="BK18" s="898">
        <f>SUBTOTAL(9,BK15:BK17)</f>
        <v>0</v>
      </c>
      <c r="BL18" s="898">
        <f>IF(ISNUMBER((I18-AB18+L18)/(F18)),(I18-AB18+L18)/(F18)," - ")</f>
        <v>-0.23493975903614459</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332</v>
      </c>
      <c r="G19" s="819">
        <f t="shared" si="6"/>
        <v>350</v>
      </c>
      <c r="H19" s="821">
        <f t="shared" si="6"/>
        <v>0</v>
      </c>
      <c r="I19" s="819">
        <f t="shared" si="6"/>
        <v>0</v>
      </c>
      <c r="J19" s="821">
        <f t="shared" si="6"/>
        <v>0</v>
      </c>
      <c r="K19" s="821">
        <f t="shared" si="6"/>
        <v>0</v>
      </c>
      <c r="L19" s="880">
        <f t="shared" si="6"/>
        <v>0</v>
      </c>
      <c r="M19" s="880">
        <f t="shared" si="6"/>
        <v>0</v>
      </c>
      <c r="N19" s="880">
        <f t="shared" si="6"/>
        <v>0</v>
      </c>
      <c r="O19" s="880">
        <f t="shared" si="6"/>
        <v>0</v>
      </c>
      <c r="P19" s="880">
        <f t="shared" si="6"/>
        <v>0</v>
      </c>
      <c r="Q19" s="821">
        <f t="shared" si="6"/>
        <v>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78</v>
      </c>
      <c r="AC19" s="820">
        <f t="shared" si="7"/>
        <v>6</v>
      </c>
      <c r="AD19" s="820">
        <f t="shared" si="7"/>
        <v>0</v>
      </c>
      <c r="AE19" s="820">
        <f t="shared" si="7"/>
        <v>0</v>
      </c>
      <c r="AF19" s="827">
        <f t="shared" si="7"/>
        <v>356</v>
      </c>
      <c r="AG19" s="827">
        <f t="shared" si="7"/>
        <v>0</v>
      </c>
      <c r="AH19" s="827">
        <f t="shared" si="7"/>
        <v>55</v>
      </c>
      <c r="AI19" s="827">
        <f t="shared" si="7"/>
        <v>0</v>
      </c>
      <c r="AJ19" s="820">
        <f t="shared" si="7"/>
        <v>0</v>
      </c>
      <c r="AK19" s="827">
        <f t="shared" si="7"/>
        <v>0</v>
      </c>
      <c r="AL19" s="827">
        <f t="shared" si="7"/>
        <v>0</v>
      </c>
      <c r="AM19" s="827">
        <f t="shared" si="7"/>
        <v>232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v>
      </c>
      <c r="BD19" s="819">
        <f t="shared" si="7"/>
        <v>56</v>
      </c>
      <c r="BE19" s="819">
        <f t="shared" si="7"/>
        <v>0</v>
      </c>
      <c r="BF19" s="829">
        <f t="shared" si="7"/>
        <v>0</v>
      </c>
      <c r="BG19" s="914">
        <f>IF(ISNUMBER(Datos!K19/Datos!J19),Datos!K19/Datos!J19," - ")</f>
        <v>1.4705882352941178</v>
      </c>
      <c r="BH19" s="914">
        <f>IF(ISNUMBER(((Datos!L19/Datos!K19)*11)/factor_trimestre),((Datos!L19/Datos!K19)*11)/factor_trimestre," - ")</f>
        <v>12.064</v>
      </c>
      <c r="BI19" s="812">
        <f>IF(ISNUMBER(Datos!J19/Datos!I19),Datos!J19/Datos!I19," - ")</f>
        <v>0.1070528967254408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-0.23493975903614459</v>
      </c>
      <c r="BM19" s="888">
        <f>IF(ISNUMBER((Datos!P19-Datos!Q19+R19)/(Datos!R19-Datos!P19+Datos!Q19-R19)),(Datos!P19-Datos!Q19+R19)/(Datos!R19-Datos!P19+Datos!Q19-R19)," - ")</f>
        <v>-2.5210084033613446E-2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191.68028937095576</v>
      </c>
      <c r="G21" s="551">
        <f>IF(ISNUMBER(STDEV(G8:G18)),STDEV(G8:G18),"-")</f>
        <v>183.74438766939249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42.269374256073391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8.6871552689396925</v>
      </c>
      <c r="BD21" s="550"/>
      <c r="BE21" s="550">
        <f>IF(ISNUMBER(STDEV(BE8:BE18)),STDEV(BE8:BE18),"-")</f>
        <v>0</v>
      </c>
      <c r="BF21" s="555">
        <f>IF(ISNUMBER(STDEV(BF8:BF18)),STDEV(BF8:BF18),"-")</f>
        <v>0</v>
      </c>
      <c r="BG21" s="774">
        <f>IF(ISNUMBER(STDEV(BG8:BG18)),STDEV(BG8:BG18),"-")</f>
        <v>25.644270171486401</v>
      </c>
      <c r="BH21" s="775">
        <f>IF(ISNUMBER(STDEV(BH8:BH18)),STDEV(BH8:BH18),"-")</f>
        <v>17.002691475088408</v>
      </c>
      <c r="BI21" s="248">
        <f>IF(ISNUMBER(STDEV(BI8:BI18)),STDEV(BI8:BI18),"-")</f>
        <v>0.11798553433806035</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GpMEtMQwXJWCgl8+O33zSvq3JMxc25PvSOQe4LMsFd2wHAfBJeyNGskG3LdkPAjogwxY7mNm4QtDrGyqZlaTRg==" saltValue="R83/61jXoomjcbd5xihWU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AVILA  Resumenes por Partidos Judiciales  PIEDRAHITA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v>
      </c>
      <c r="AA12" s="331" t="str">
        <f>IF(ISNUMBER(IF(J_V="SI",Datos!L12,Datos!L12+Datos!AB12)-IF(Monitorios="SI",Datos!CD12,0)),
                          IF(J_V="SI",Datos!L12,Datos!L12+Datos!AB12)-IF(Monitorios="SI",Datos!CD12,0),
                          " - ")</f>
        <v xml:space="preserve"> - </v>
      </c>
      <c r="AB12" s="333"/>
      <c r="AC12" s="333"/>
      <c r="AD12" s="483"/>
      <c r="AE12" s="483">
        <f>IF(ISNUMBER(Datos!R12),Datos!R12," - ")</f>
        <v>184</v>
      </c>
      <c r="AF12" s="228" t="str">
        <f>IF(ISNUMBER(Datos!BV12),Datos!BV12," - ")</f>
        <v xml:space="preserve"> - </v>
      </c>
      <c r="AG12" s="224" t="str">
        <f>IF(ISNUMBER(Datos!DV12),Datos!DV12," - ")</f>
        <v xml:space="preserve"> - </v>
      </c>
      <c r="AH12" s="297"/>
      <c r="AI12" s="226"/>
      <c r="AJ12" s="224">
        <f>IF(ISNUMBER(Datos!M12),Datos!M12," - ")</f>
        <v>6</v>
      </c>
      <c r="AK12" s="228">
        <f>IF(ISNUMBER(Datos!N12),Datos!N12," - ")</f>
        <v>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18.875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-3.1578947368421054E-2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v>
      </c>
      <c r="AA13" s="899">
        <f t="shared" si="2"/>
        <v>0</v>
      </c>
      <c r="AB13" s="899">
        <f t="shared" si="2"/>
        <v>0</v>
      </c>
      <c r="AC13" s="899">
        <f t="shared" si="2"/>
        <v>0</v>
      </c>
      <c r="AD13" s="899">
        <f t="shared" si="2"/>
        <v>0</v>
      </c>
      <c r="AE13" s="899">
        <f t="shared" si="2"/>
        <v>184</v>
      </c>
      <c r="AF13" s="907">
        <f t="shared" si="2"/>
        <v>0</v>
      </c>
      <c r="AG13" s="907">
        <f t="shared" si="2"/>
        <v>0</v>
      </c>
      <c r="AH13" s="907">
        <f t="shared" si="2"/>
        <v>0</v>
      </c>
      <c r="AI13" s="907">
        <f t="shared" si="2"/>
        <v>0</v>
      </c>
      <c r="AJ13" s="907">
        <f t="shared" si="2"/>
        <v>6</v>
      </c>
      <c r="AK13" s="907">
        <f t="shared" si="2"/>
        <v>0</v>
      </c>
      <c r="AL13" s="907">
        <f t="shared" si="2"/>
        <v>0</v>
      </c>
      <c r="AM13" s="907">
        <f t="shared" si="2"/>
        <v>0</v>
      </c>
      <c r="AN13" s="907">
        <f t="shared" si="2"/>
        <v>0</v>
      </c>
      <c r="AO13" s="903">
        <f>IF(ISNUMBER(((NºAsuntos!I13/NºAsuntos!G13)*11)/factor_trimestre),((NºAsuntos!I13/NºAsuntos!G13)*11)/factor_trimestre," - ")</f>
        <v>18.875</v>
      </c>
      <c r="AP13" s="909" t="str">
        <f>IF(ISNUMBER(Datos!CI13/Datos!CJ13),Datos!CI13/Datos!CJ13," - ")</f>
        <v xml:space="preserve"> - </v>
      </c>
      <c r="AQ13" s="927">
        <f t="shared" ref="AQ13:AV13" si="3">SUBTOTAL(9,AQ9:AQ12)</f>
        <v>0</v>
      </c>
      <c r="AR13" s="927">
        <f t="shared" si="3"/>
        <v>-3.1578947368421054E-2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332</v>
      </c>
      <c r="G16" s="224">
        <f>IF(ISNUMBER(IF(D_I="SI",Datos!I16,Datos!I16+Datos!AC16)),IF(D_I="SI",Datos!I16,Datos!I16+Datos!AC16)," - ")</f>
        <v>332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77</v>
      </c>
      <c r="Z16" s="618">
        <f>IF(ISNUMBER(Datos!Q16),Datos!Q16," - ")</f>
        <v>0</v>
      </c>
      <c r="AA16" s="331">
        <f>IF(ISNUMBER(IF(D_I="SI",Datos!L16,Datos!L16+Datos!AF16)),IF(D_I="SI",Datos!L16,Datos!L16+Datos!AF16)," - ")</f>
        <v>331</v>
      </c>
      <c r="AB16" s="333"/>
      <c r="AC16" s="333"/>
      <c r="AD16" s="483"/>
      <c r="AE16" s="483">
        <f>IF(ISNUMBER(Datos!R16),Datos!R16," - ")</f>
        <v>48</v>
      </c>
      <c r="AF16" s="228" t="str">
        <f>IF(ISNUMBER(Datos!BV16),Datos!BV16," - ")</f>
        <v xml:space="preserve"> - </v>
      </c>
      <c r="AG16" s="224"/>
      <c r="AH16" s="297"/>
      <c r="AI16" s="226"/>
      <c r="AJ16" s="224">
        <f>IF(ISNUMBER(Datos!M16),Datos!M16," - ")</f>
        <v>19</v>
      </c>
      <c r="AK16" s="228">
        <f>IF(ISNUMBER(Datos!N16),Datos!N16," - ")</f>
        <v>50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8.5974025974025974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v>
      </c>
      <c r="Z17" s="618">
        <f>IF(ISNUMBER(Datos!Q17),Datos!Q17," - ")</f>
        <v>0</v>
      </c>
      <c r="AA17" s="331">
        <f>IF(ISNUMBER(Datos!L17),Datos!L17,"-")</f>
        <v>25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332</v>
      </c>
      <c r="G18" s="897">
        <f>SUBTOTAL(9,G15:G17)</f>
        <v>350</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78</v>
      </c>
      <c r="Z18" s="931">
        <f t="shared" si="5"/>
        <v>0</v>
      </c>
      <c r="AA18" s="931">
        <f t="shared" si="5"/>
        <v>356</v>
      </c>
      <c r="AB18" s="931">
        <f t="shared" si="5"/>
        <v>0</v>
      </c>
      <c r="AC18" s="931">
        <f t="shared" si="5"/>
        <v>0</v>
      </c>
      <c r="AD18" s="931">
        <f t="shared" si="5"/>
        <v>0</v>
      </c>
      <c r="AE18" s="931">
        <f t="shared" si="5"/>
        <v>48</v>
      </c>
      <c r="AF18" s="931">
        <f t="shared" si="5"/>
        <v>0</v>
      </c>
      <c r="AG18" s="931">
        <f t="shared" si="5"/>
        <v>0</v>
      </c>
      <c r="AH18" s="931">
        <f t="shared" si="5"/>
        <v>0</v>
      </c>
      <c r="AI18" s="931">
        <f t="shared" si="5"/>
        <v>0</v>
      </c>
      <c r="AJ18" s="931">
        <f t="shared" si="5"/>
        <v>19</v>
      </c>
      <c r="AK18" s="931">
        <f t="shared" si="5"/>
        <v>56</v>
      </c>
      <c r="AL18" s="931">
        <f t="shared" si="5"/>
        <v>0</v>
      </c>
      <c r="AM18" s="931">
        <f t="shared" si="5"/>
        <v>0</v>
      </c>
      <c r="AN18" s="931">
        <f t="shared" si="5"/>
        <v>0</v>
      </c>
      <c r="AO18" s="933">
        <f>IF(ISNUMBER(((NºAsuntos!I18/NºAsuntos!G18)*11)/factor_trimestre),((NºAsuntos!I18/NºAsuntos!G18)*11)/factor_trimestre," - ")</f>
        <v>9.1282051282051277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332</v>
      </c>
      <c r="G19" s="819">
        <f t="shared" si="7"/>
        <v>350</v>
      </c>
      <c r="H19" s="820">
        <f t="shared" si="7"/>
        <v>0</v>
      </c>
      <c r="I19" s="819">
        <f t="shared" si="7"/>
        <v>0</v>
      </c>
      <c r="J19" s="821">
        <f t="shared" si="7"/>
        <v>0</v>
      </c>
      <c r="K19" s="819">
        <f t="shared" si="7"/>
        <v>0</v>
      </c>
      <c r="L19" s="822">
        <f t="shared" si="7"/>
        <v>0</v>
      </c>
      <c r="M19" s="819">
        <f t="shared" si="7"/>
        <v>0</v>
      </c>
      <c r="N19" s="820">
        <f t="shared" si="7"/>
        <v>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78</v>
      </c>
      <c r="Z19" s="826">
        <f t="shared" si="8"/>
        <v>6</v>
      </c>
      <c r="AA19" s="827">
        <f t="shared" si="8"/>
        <v>356</v>
      </c>
      <c r="AB19" s="827">
        <f t="shared" si="8"/>
        <v>0</v>
      </c>
      <c r="AC19" s="827">
        <f t="shared" si="8"/>
        <v>0</v>
      </c>
      <c r="AD19" s="828">
        <f t="shared" si="8"/>
        <v>0</v>
      </c>
      <c r="AE19" s="828">
        <f t="shared" si="8"/>
        <v>232</v>
      </c>
      <c r="AF19" s="829">
        <f t="shared" si="8"/>
        <v>0</v>
      </c>
      <c r="AG19" s="830">
        <f t="shared" si="8"/>
        <v>0</v>
      </c>
      <c r="AH19" s="831">
        <f t="shared" si="8"/>
        <v>0</v>
      </c>
      <c r="AI19" s="829">
        <f t="shared" si="8"/>
        <v>0</v>
      </c>
      <c r="AJ19" s="819">
        <f t="shared" si="8"/>
        <v>25</v>
      </c>
      <c r="AK19" s="819">
        <f t="shared" si="8"/>
        <v>56</v>
      </c>
      <c r="AL19" s="819">
        <f t="shared" si="8"/>
        <v>0</v>
      </c>
      <c r="AM19" s="832">
        <f t="shared" si="8"/>
        <v>0</v>
      </c>
      <c r="AN19" s="822">
        <f>IF(ISNUMBER(Datos!K19/Datos!J19),Datos!K19/Datos!J19," - ")</f>
        <v>1.4705882352941178</v>
      </c>
      <c r="AO19" s="822">
        <f>IF(ISNUMBER(FIND("06",Criterios!A8,1)),(IF(ISNUMBER(((Datos!R19/Datos!Q19)*11)/factor_trimestre),((Datos!R19/Datos!Q19)*11)/factor_trimestre," - ")),(IF(ISNUMBER(((Datos!L19/Datos!K19)*11)/factor_trimestre),((Datos!L19/Datos!K19)*11)/factor_trimestre," - ")))</f>
        <v>12.064</v>
      </c>
      <c r="AP19" s="833" t="str">
        <f>IF(ISNUMBER(Datos!CI19/Datos!CJ19),Datos!CI19/Datos!CJ19," - ")</f>
        <v xml:space="preserve"> - </v>
      </c>
      <c r="AQ19" s="833">
        <f>IF(OR(ISNUMBER(FIND("01",Criterios!A8,1)),ISNUMBER(FIND("02",Criterios!A8,1)),ISNUMBER(FIND("03",Criterios!A8,1)),ISNUMBER(FIND("04",Criterios!A8,1))),(J19-Y19+K19)/(F19-K19),(I19-Y19+K19)/(F19-K19))</f>
        <v>-0.23493975903614459</v>
      </c>
      <c r="AR19" s="833">
        <f>IF(ISNUMBER((Datos!P19-Datos!Q19+O19)/(Datos!R19-Datos!P19+Datos!Q19-O19)),(Datos!P19-Datos!Q19+O19)/(Datos!R19-Datos!P19+Datos!Q19-O19)," - ")</f>
        <v>-2.5210084033613446E-2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191.68028937095576</v>
      </c>
      <c r="G21" s="551">
        <f>IF(ISNUMBER(STDEV(G8:G18)),STDEV(G8:G18),"-")</f>
        <v>183.74438766939249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8.6871552689396925</v>
      </c>
      <c r="AK21" s="251"/>
      <c r="AL21" s="251">
        <f>IF(ISNUMBER(STDEV(AL8:AL18)),STDEV(AL8:AL18),"-")</f>
        <v>0</v>
      </c>
      <c r="AM21" s="253">
        <f>IF(ISNUMBER(STDEV(AM8:AM18)),STDEV(AM8:AM18),"-")</f>
        <v>0</v>
      </c>
      <c r="AN21" s="538">
        <f>IF(ISNUMBER(STDEV(AN8:AN18)),STDEV(AN8:AN18),"-")</f>
        <v>0</v>
      </c>
      <c r="AO21" s="539">
        <f>IF(ISNUMBER(STDEV(AO8:AO18)),STDEV(AO8:AO18),"-")</f>
        <v>16.917076766297118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l+6D9GaMwwfbh/a5tRZGMf/eKKerDW2PyfjSJ4QNJ7ggGkrUw63H3e6ny0glxVte4wzQ6sOckHGgaFRXNIBANw==" saltValue="WL/I2SKwQlY98DhLU4wM6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xkT8HJnygMkPHUHgH8QWoucjWms/ag0gpCrfP21ZlTjNpvmpPQG2B3U2wBRWgwPVKfdnmQ072isBdH6d8gasw==" saltValue="EqQTqW8YkJWlMZG4tES3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2RcJCnN2ciUIUnX4A/tfELtxHH8+lqc96QnYC3U8Ms2dqR+Cs7w4Su9D56aZ9X7sAHUnMM8aWQEGitiRdLv9g==" saltValue="Ad3YahCFbj//bEJip2T/K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AVILA  Resumenes por Partidos Judiciales  PIEDRAHITA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8.8388347648318447E-2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Tj2qL0uPPGrr1ocysgIbs8sZtgjdoMzZb4yzLFzh2ZEBrmFZ78m6ChgDjP7atcMfNuuZldIzSRqRBP1I1pnA3Q==" saltValue="+eFKOQqx5HRydYjz2ast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Sa/5HAjpb3heHz4mnn8OW6qd6v6daurg081GvuP80coxYBo8Jqp1IHx48SJHoZ/lDevboYY8SNdYBcfAf4HhA==" saltValue="KZ/cT2qlXJfcb3qIRboE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AVILA</v>
      </c>
      <c r="D3" s="374"/>
      <c r="E3" s="374"/>
      <c r="F3" s="374"/>
      <c r="BQ3" s="470"/>
    </row>
    <row r="4" spans="1:69" ht="13.5" thickBot="1">
      <c r="A4" s="374"/>
      <c r="B4" s="390" t="str">
        <f>Criterios!A11 &amp;"  "&amp;Criterios!B11</f>
        <v>Resumenes por Partidos Judiciales  PIEDRAHITA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500</v>
      </c>
      <c r="D12" s="403">
        <f>IF(ISNUMBER(C12/Datos!BH12),C12/Datos!BH12," - ")</f>
        <v>500</v>
      </c>
      <c r="E12" s="402">
        <f>IF(ISNUMBER(IF(J_V="SI",Datos!J12,Datos!J12+Datos!Z12)),IF(J_V="SI",Datos!J12,Datos!J12+Datos!Z12)," - ")</f>
        <v>1</v>
      </c>
      <c r="F12" s="403">
        <f>IF(ISNUMBER(E12/B12),E12/B12," - ")</f>
        <v>1</v>
      </c>
      <c r="G12" s="402">
        <f>IF(ISNUMBER(IF(J_V="SI",Datos!K12,Datos!K12+Datos!AA12)),IF(J_V="SI",Datos!K12,Datos!K12+Datos!AA12)," - ")</f>
        <v>48</v>
      </c>
      <c r="H12" s="403">
        <f>IF(ISNUMBER(G12/B12),G12/B12," - ")</f>
        <v>48</v>
      </c>
      <c r="I12" s="402">
        <f>IF(ISNUMBER(IF(J_V="SI",Datos!L12,Datos!L12+Datos!AB12)),IF(J_V="SI",Datos!L12,Datos!L12+Datos!AB12)," - ")</f>
        <v>453</v>
      </c>
      <c r="J12" s="403">
        <f>IF(ISNUMBER(I12/B12),I12/B12," - ")</f>
        <v>453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500</v>
      </c>
      <c r="D13" s="849" t="str">
        <f>IF(ISNUMBER(C13/Datos!BI13),C13/Datos!BI13," - ")</f>
        <v xml:space="preserve"> - </v>
      </c>
      <c r="E13" s="848">
        <f>SUBTOTAL(9,E8:E12)</f>
        <v>1</v>
      </c>
      <c r="F13" s="849">
        <f>IF(ISNUMBER(E13/B13),E13/B13," - ")</f>
        <v>1</v>
      </c>
      <c r="G13" s="848">
        <f>SUBTOTAL(9,G8:G12)</f>
        <v>48</v>
      </c>
      <c r="H13" s="849">
        <f>IF(ISNUMBER(G13/B13),G13/B13," - ")</f>
        <v>48</v>
      </c>
      <c r="I13" s="848">
        <f>SUBTOTAL(9,I8:I12)</f>
        <v>453</v>
      </c>
      <c r="J13" s="849">
        <f>IF(ISNUMBER(I13/B13),I13/B13," - ")</f>
        <v>453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332</v>
      </c>
      <c r="D16" s="403">
        <f>IF(ISNUMBER(C16/Datos!BH16),C16/Datos!BH16," - ")</f>
        <v>332</v>
      </c>
      <c r="E16" s="402">
        <f>IF(ISNUMBER(IF(D_I="SI",Datos!J16,Datos!J16+Datos!AD16)),IF(D_I="SI",Datos!J16,Datos!J16+Datos!AD16)," - ")</f>
        <v>76</v>
      </c>
      <c r="F16" s="403">
        <f>IF(ISNUMBER(E16/B16),E16/B16," - ")</f>
        <v>76</v>
      </c>
      <c r="G16" s="402">
        <f>IF(ISNUMBER(IF(D_I="SI",Datos!K16,Datos!K16+Datos!AE16)),IF(D_I="SI",Datos!K16,Datos!K16+Datos!AE16)," - ")</f>
        <v>77</v>
      </c>
      <c r="H16" s="403">
        <f>IF(ISNUMBER(G16/B16),G16/B16," - ")</f>
        <v>77</v>
      </c>
      <c r="I16" s="402">
        <f>IF(ISNUMBER(IF(D_I="SI",Datos!L16,Datos!L16+Datos!AF16)),IF(D_I="SI",Datos!L16,Datos!L16+Datos!AF16)," - ")</f>
        <v>331</v>
      </c>
      <c r="J16" s="403">
        <f>IF(ISNUMBER(I16/B16),I16/B16," - ")</f>
        <v>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v>
      </c>
      <c r="D17" s="403">
        <f>IF(ISNUMBER(C17/Datos!BH17),C17/Datos!BH17," - ")</f>
        <v>18</v>
      </c>
      <c r="E17" s="402">
        <f>IF(ISNUMBER(IF(D_I="SI",Datos!J17,Datos!J17+Datos!AD17)),IF(D_I="SI",Datos!J17,Datos!J17+Datos!AD17)," - ")</f>
        <v>8</v>
      </c>
      <c r="F17" s="403">
        <f>IF(ISNUMBER(E17/B17),E17/B17," - ")</f>
        <v>8</v>
      </c>
      <c r="G17" s="402">
        <f>IF(ISNUMBER(IF(D_I="SI",Datos!K17,Datos!K17+Datos!AE17)),IF(D_I="SI",Datos!K17,Datos!K17+Datos!AE17)," - ")</f>
        <v>1</v>
      </c>
      <c r="H17" s="403">
        <f>IF(ISNUMBER(G17/B17),G17/B17," - ")</f>
        <v>1</v>
      </c>
      <c r="I17" s="402">
        <f>IF(ISNUMBER(IF(D_I="SI",Datos!L17,Datos!L17+Datos!AF17)),IF(D_I="SI",Datos!L17,Datos!L17+Datos!AF17)," - ")</f>
        <v>25</v>
      </c>
      <c r="J17" s="403">
        <f>IF(ISNUMBER(I17/B17),I17/B17," - ")</f>
        <v>25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350</v>
      </c>
      <c r="D18" s="849" t="str">
        <f>IF(ISNUMBER(C18/Datos!BI18),C18/Datos!BI18," - ")</f>
        <v xml:space="preserve"> - </v>
      </c>
      <c r="E18" s="848">
        <f>SUBTOTAL(9,E14:E17)</f>
        <v>84</v>
      </c>
      <c r="F18" s="849">
        <f>IF(ISNUMBER(E18/B18),E18/B18," - ")</f>
        <v>84</v>
      </c>
      <c r="G18" s="848">
        <f>SUBTOTAL(9,G14:G17)</f>
        <v>78</v>
      </c>
      <c r="H18" s="849">
        <f>IF(ISNUMBER(G18/B18),G18/B18," - ")</f>
        <v>78</v>
      </c>
      <c r="I18" s="848">
        <f>SUBTOTAL(9,I14:I17)</f>
        <v>356</v>
      </c>
      <c r="J18" s="849">
        <f>IF(ISNUMBER(I18/B18),I18/B18," - ")</f>
        <v>356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850</v>
      </c>
      <c r="D19" s="794" t="str">
        <f>IF(ISNUMBER(C19/Datos!BI19),C19/Datos!BI19," - ")</f>
        <v xml:space="preserve"> - </v>
      </c>
      <c r="E19" s="793">
        <f>SUBTOTAL(9,E9:E18)</f>
        <v>85</v>
      </c>
      <c r="F19" s="794">
        <f>IF(ISNUMBER(E19/B19),E19/B19," - ")</f>
        <v>85</v>
      </c>
      <c r="G19" s="793">
        <f>SUBTOTAL(9,G9:G18)</f>
        <v>126</v>
      </c>
      <c r="H19" s="794">
        <f>IF(ISNUMBER(G19/B19),G19/B19," - ")</f>
        <v>126</v>
      </c>
      <c r="I19" s="793">
        <f>SUBTOTAL(9,I9:I18)</f>
        <v>809</v>
      </c>
      <c r="J19" s="794">
        <f>IF(ISNUMBER(I19/B19),I19/B19," - ")</f>
        <v>809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q1Jar112wTgLghPn0JIWyW+5RTci45rOYVBZZ4nKw4YqBAtaoo2l7eQWjMaDBd1Es6nUuR8yzzf6a8ppX/4zmg==" saltValue="dLRNaz1my6D7/OLlPJh/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AVILA  Resumenes por Partidos Judiciales  PIEDRAHITA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v>
      </c>
      <c r="AM12" s="689">
        <f>IF(ISNUMBER(Datos!N12+DatosP!N16),Datos!N12+DatosP!N16," - ")</f>
        <v>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18.875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-3.1578947368421054E-2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6</v>
      </c>
      <c r="AE13" s="938">
        <f t="shared" si="1"/>
        <v>0</v>
      </c>
      <c r="AF13" s="938">
        <f t="shared" si="1"/>
        <v>0</v>
      </c>
      <c r="AG13" s="938">
        <f t="shared" si="1"/>
        <v>0</v>
      </c>
      <c r="AH13" s="938">
        <f t="shared" si="1"/>
        <v>184</v>
      </c>
      <c r="AI13" s="938">
        <f t="shared" si="1"/>
        <v>0</v>
      </c>
      <c r="AJ13" s="938">
        <f t="shared" si="1"/>
        <v>0</v>
      </c>
      <c r="AK13" s="938">
        <f t="shared" si="1"/>
        <v>0</v>
      </c>
      <c r="AL13" s="938">
        <f t="shared" si="1"/>
        <v>6</v>
      </c>
      <c r="AM13" s="938">
        <f t="shared" si="1"/>
        <v>0</v>
      </c>
      <c r="AN13" s="938">
        <f t="shared" si="1"/>
        <v>0</v>
      </c>
      <c r="AO13" s="938">
        <f t="shared" si="1"/>
        <v>0</v>
      </c>
      <c r="AP13" s="943">
        <f>IF(ISNUMBER(((Datos!L13/Datos!K13)*11)/factor_trimestre),((Datos!L13/Datos!K13)*11)/factor_trimestre," - ")</f>
        <v>16.936170212765958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-3.1578947368421054E-2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9.1282051282051277</v>
      </c>
      <c r="AQ18" s="943">
        <f>IF(ISNUMBER(((Datos!M18/Datos!L18)*11)/factor_trimestre),((Datos!M18/Datos!L18)*11)/factor_trimestre," - ")</f>
        <v>0.10674157303370785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-0.1437125748502994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6</v>
      </c>
      <c r="AE19" s="956">
        <f t="shared" si="5"/>
        <v>0</v>
      </c>
      <c r="AF19" s="957">
        <f t="shared" si="5"/>
        <v>0</v>
      </c>
      <c r="AG19" s="957">
        <f t="shared" si="5"/>
        <v>0</v>
      </c>
      <c r="AH19" s="957">
        <f t="shared" si="5"/>
        <v>184</v>
      </c>
      <c r="AI19" s="957">
        <f t="shared" si="5"/>
        <v>0</v>
      </c>
      <c r="AJ19" s="958">
        <f t="shared" si="5"/>
        <v>0</v>
      </c>
      <c r="AK19" s="958">
        <f t="shared" si="5"/>
        <v>0</v>
      </c>
      <c r="AL19" s="950">
        <f t="shared" si="5"/>
        <v>6</v>
      </c>
      <c r="AM19" s="950">
        <f t="shared" si="5"/>
        <v>0</v>
      </c>
      <c r="AN19" s="950">
        <f t="shared" si="5"/>
        <v>0</v>
      </c>
      <c r="AO19" s="950">
        <f t="shared" si="5"/>
        <v>0</v>
      </c>
      <c r="AP19" s="950">
        <f>IF(ISNUMBER(((Datos!L19/Datos!K19)*11)/factor_trimestre),((Datos!L19/Datos!K19)*11)/factor_trimestre," - ")</f>
        <v>12.064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-2.5210084033613446E-2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3.4641016151377544</v>
      </c>
      <c r="AM21" s="735"/>
      <c r="AN21" s="735">
        <f>IF(ISNUMBER(STDEV(AN8:AN18)),STDEV(AN8:AN18),"-")</f>
        <v>0</v>
      </c>
      <c r="AO21" s="741">
        <f>IF(ISNUMBER(STDEV(AO8:AO18)),STDEV(AO8:AO18),"-")</f>
        <v>0</v>
      </c>
      <c r="AP21" s="778">
        <f>IF(ISNUMBER(STDEV(AP8:AP18)),STDEV(AP8:AP18),"-")</f>
        <v>5.1595120889872597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odGRW+pGXp3gjEdvx6w2f2F8IjBVgc+0JLyxPO7XsPnCADQoFkQ3bzn51MqJCFoIMbbARag0ikiBroXscnQthQ==" saltValue="FEKRTCkc7EW+WW1wywb34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AVILA</v>
      </c>
      <c r="C3" s="414"/>
      <c r="F3" s="374"/>
      <c r="G3" s="374"/>
      <c r="H3" s="374"/>
    </row>
    <row r="4" spans="1:15" ht="13.5" thickBot="1">
      <c r="A4" s="374"/>
      <c r="B4" s="390" t="str">
        <f>Criterios!A11 &amp;"  "&amp;Criterios!B11</f>
        <v>Resumenes por Partidos Judiciales  PIEDRAHITA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ejC7GZ3GjrFIXTJcwm8pvxcAiRIiSj/L5IZWcKzptSwwPk+WpgDMACw0t0sg+ga8sqROJaviGE48UTtbmYV/XA==" saltValue="2xzPJ90sOLLcJuSrVtBX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AVILA</v>
      </c>
      <c r="C3" s="390"/>
      <c r="D3" s="424"/>
      <c r="BZ3" s="470"/>
    </row>
    <row r="4" spans="1:78" ht="13.5" thickBot="1">
      <c r="B4" s="390" t="str">
        <f>Criterios!A11 &amp;"  "&amp;Criterios!B11</f>
        <v>Resumenes por Partidos Judiciales  PIEDRAHITA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6</v>
      </c>
      <c r="E12" s="403">
        <f t="shared" si="0"/>
        <v>6</v>
      </c>
      <c r="F12" s="402">
        <f>IF(ISNUMBER(Datos!N12),Datos!N12," - ")</f>
        <v>0</v>
      </c>
      <c r="G12" s="403">
        <f t="shared" si="1"/>
        <v>0</v>
      </c>
      <c r="H12" s="402">
        <f>IF(ISNUMBER(Datos!O12),Datos!O12," - ")</f>
        <v>32</v>
      </c>
      <c r="I12" s="403">
        <f t="shared" si="2"/>
        <v>32</v>
      </c>
      <c r="BZ12" s="1185">
        <f>Datos!EZ12</f>
        <v>0</v>
      </c>
    </row>
    <row r="13" spans="1:78" ht="14.25" thickTop="1" thickBot="1">
      <c r="A13" s="847" t="str">
        <f>Datos!A13</f>
        <v>TOTAL</v>
      </c>
      <c r="B13" s="848">
        <f>Datos!AP13</f>
        <v>1</v>
      </c>
      <c r="C13" s="850">
        <f>Datos!AR13</f>
        <v>1</v>
      </c>
      <c r="D13" s="848">
        <f>SUBTOTAL(9,D9:D12)</f>
        <v>6</v>
      </c>
      <c r="E13" s="849">
        <f t="shared" si="0"/>
        <v>6</v>
      </c>
      <c r="F13" s="848">
        <f>SUBTOTAL(9,F9:F12)</f>
        <v>0</v>
      </c>
      <c r="G13" s="849">
        <f t="shared" si="1"/>
        <v>0</v>
      </c>
      <c r="H13" s="848">
        <f>SUBTOTAL(9,H9:H12)</f>
        <v>32</v>
      </c>
      <c r="I13" s="849">
        <f>IF(ISNUMBER(H13/B13),H13/B13," - ")</f>
        <v>32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19</v>
      </c>
      <c r="E16" s="403">
        <f t="shared" si="3"/>
        <v>19</v>
      </c>
      <c r="F16" s="402">
        <f>IF(ISNUMBER(Datos!N16),Datos!N16," - ")</f>
        <v>50</v>
      </c>
      <c r="G16" s="403">
        <f t="shared" si="4"/>
        <v>50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6</v>
      </c>
      <c r="G17" s="403">
        <f>IF(ISNUMBER(F17/B17),F17/B17," - ")</f>
        <v>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19</v>
      </c>
      <c r="E18" s="849">
        <f t="shared" si="3"/>
        <v>19</v>
      </c>
      <c r="F18" s="848">
        <f>SUBTOTAL(9,F15:F17)</f>
        <v>56</v>
      </c>
      <c r="G18" s="849">
        <f t="shared" si="4"/>
        <v>56</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25</v>
      </c>
      <c r="E19" s="794">
        <f>IF(ISNUMBER(D19/B19),D19/B19," - ")</f>
        <v>25</v>
      </c>
      <c r="F19" s="793">
        <f>SUBTOTAL(9,F8:F18)</f>
        <v>56</v>
      </c>
      <c r="G19" s="794">
        <f>IF(ISNUMBER(F19/B19),F19/B19," - ")</f>
        <v>56</v>
      </c>
      <c r="H19" s="793">
        <f>SUBTOTAL(9,H8:H18)</f>
        <v>32</v>
      </c>
      <c r="I19" s="794">
        <f>IF(ISNUMBER(H19/B19),H19/B19," - ")</f>
        <v>32</v>
      </c>
    </row>
    <row r="22" spans="1:78">
      <c r="A22" s="390" t="str">
        <f>Criterios!A4</f>
        <v>Fecha Informe: 09 dic. 2025</v>
      </c>
    </row>
    <row r="27" spans="1:78">
      <c r="A27" s="413"/>
    </row>
  </sheetData>
  <sheetProtection algorithmName="SHA-512" hashValue="AyW/K4Vxjhe/aJ6ywCW7BcYTEfoZRmTjAk9G4gozBpWu4rf9wFUteUOiwNEOf2uVVy4GXJE/Pw8QhqsV+xjoIA==" saltValue="5FOchn40Ye1EVc8Cj2/t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AVILA</v>
      </c>
    </row>
    <row r="4" spans="1:4" ht="13.5" thickBot="1">
      <c r="B4" s="390" t="str">
        <f>Criterios!A11 &amp;"  "&amp;Criterios!B11</f>
        <v>Resumenes por Partidos Judiciales  PIEDRAHITA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0</v>
      </c>
      <c r="C12" s="433">
        <f>IF(ISNUMBER(Datos!Q12),Datos!Q12," - ")</f>
        <v>6</v>
      </c>
      <c r="D12" s="407">
        <f>IF(ISNUMBER(Datos!R12),Datos!R12," - ")</f>
        <v>184</v>
      </c>
    </row>
    <row r="13" spans="1:4" ht="14.25" thickTop="1" thickBot="1">
      <c r="A13" s="847" t="str">
        <f>Datos!A13</f>
        <v>TOTAL</v>
      </c>
      <c r="B13" s="848">
        <f>SUBTOTAL(9,B9:B12)</f>
        <v>0</v>
      </c>
      <c r="C13" s="852">
        <f>SUBTOTAL(9,C9:C12)</f>
        <v>6</v>
      </c>
      <c r="D13" s="850">
        <f>SUBTOTAL(9,D9:D12)</f>
        <v>184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48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48</v>
      </c>
    </row>
    <row r="19" spans="1:4" ht="16.5" customHeight="1" thickTop="1" thickBot="1">
      <c r="A19" s="792" t="str">
        <f>Datos!A19</f>
        <v>TOTAL JURISDICCIONES</v>
      </c>
      <c r="B19" s="797">
        <f>SUBTOTAL(9,B8:B18)</f>
        <v>0</v>
      </c>
      <c r="C19" s="798">
        <f>SUBTOTAL(9,C8:C18)</f>
        <v>6</v>
      </c>
      <c r="D19" s="799">
        <f>SUBTOTAL(9,D8:D18)</f>
        <v>232</v>
      </c>
    </row>
    <row r="20" spans="1:4" ht="7.5" customHeight="1"/>
    <row r="21" spans="1:4" ht="6" customHeight="1"/>
    <row r="22" spans="1:4">
      <c r="A22" s="390" t="str">
        <f>Criterios!A4</f>
        <v>Fecha Informe: 09 dic. 2025</v>
      </c>
    </row>
    <row r="27" spans="1:4">
      <c r="A27" s="413"/>
    </row>
  </sheetData>
  <sheetProtection algorithmName="SHA-512" hashValue="z6QFaAmvLRakyTXqsHeI2YNFO04tT2umX6E02g2JWGciJxERxUdgdkSNCNeO23xjaoURU1hVCvc2G6us43Sqyg==" saltValue="fXxOYHjtUquxEon6mCQj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AVILA</v>
      </c>
    </row>
    <row r="4" spans="1:11" ht="10.5" customHeight="1" thickBot="1">
      <c r="B4" s="390" t="str">
        <f>Criterios!A11 &amp;"  "&amp;Criterios!B11</f>
        <v>Resumenes por Partidos Judiciales  PIEDRAHITA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4.1666666666666664E-2</v>
      </c>
      <c r="C12" s="455">
        <f>IF(ISNUMBER(
   IF(J_V="SI",(Datos!J12-Datos!T12)/Datos!T12,(Datos!J12+Datos!Z12-(Datos!T12+Datos!AH12))/(Datos!T12+Datos!AH12))
     ),IF(J_V="SI",(Datos!J12-Datos!T12)/Datos!T12,(Datos!J12+Datos!Z12-(Datos!T12+Datos!AH12))/(Datos!T12+Datos!AH12))," - ")</f>
        <v>-0.99145299145299148</v>
      </c>
      <c r="D12" s="455">
        <f>IF(ISNUMBER(
   IF(J_V="SI",(Datos!K12-Datos!U12)/Datos!U12,(Datos!K12+Datos!AA12-(Datos!U12+Datos!AI12))/(Datos!U12+Datos!AI12))
     ),IF(J_V="SI",(Datos!K12-Datos!U12)/Datos!U12,(Datos!K12+Datos!AA12-(Datos!U12+Datos!AI12))/(Datos!U12+Datos!AI12))," - ")</f>
        <v>-0.23809523809523808</v>
      </c>
      <c r="E12" s="455">
        <f>IF(ISNUMBER(
   IF(J_V="SI",(Datos!L12-Datos!V12)/Datos!V12,(Datos!L12+Datos!AB12-(Datos!V12+Datos!AJ12))/(Datos!V12+Datos!AJ12))
     ),IF(J_V="SI",(Datos!L12-Datos!V12)/Datos!V12,(Datos!L12+Datos!AB12-(Datos!V12+Datos!AJ12))/(Datos!V12+Datos!AJ12))," - ")</f>
        <v>-0.15168539325842698</v>
      </c>
      <c r="F12" s="455">
        <f>IF(ISNUMBER((Datos!M12-Datos!W12)/Datos!W12),(Datos!M12-Datos!W12)/Datos!W12," - ")</f>
        <v>-0.6470588235294118</v>
      </c>
      <c r="G12" s="456">
        <f>IF(ISNUMBER((Datos!N12-Datos!X12)/Datos!X12),(Datos!N12-Datos!X12)/Datos!X12," - ")</f>
        <v>-1</v>
      </c>
      <c r="H12" s="454">
        <f>IF(ISNUMBER(((NºAsuntos!G12/NºAsuntos!E12)-Datos!BD12)/Datos!BD12),((NºAsuntos!G12/NºAsuntos!E12)-Datos!BD12)/Datos!BD12," - ")</f>
        <v>88.142857142857139</v>
      </c>
      <c r="I12" s="455">
        <f>IF(ISNUMBER(((NºAsuntos!I12/NºAsuntos!G12)-Datos!BE12)/Datos!BE12),((NºAsuntos!I12/NºAsuntos!G12)-Datos!BE12)/Datos!BE12," - ")</f>
        <v>0.1134129213483146</v>
      </c>
      <c r="J12" s="460">
        <f>IF(ISNUMBER((('Resol  Asuntos'!D12/NºAsuntos!G12)-Datos!BF12)/Datos!BF12),(('Resol  Asuntos'!D12/NºAsuntos!G12)-Datos!BF12)/Datos!BF12," - ")</f>
        <v>-0.671875</v>
      </c>
      <c r="K12" s="461">
        <f>IF(ISNUMBER((((NºAsuntos!C12+NºAsuntos!E12)/NºAsuntos!G12)-Datos!BG12)/Datos!BG12),(((NºAsuntos!C12+NºAsuntos!E12)/NºAsuntos!G12)-Datos!BG12)/Datos!BG12," - ")</f>
        <v>0.10144472361809044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3.9501039501039503E-2</v>
      </c>
      <c r="C13" s="854">
        <f>IF(ISNUMBER(
   IF(J_V="SI",(Datos!J13-Datos!T13)/Datos!T13,(Datos!J13+Datos!Z13-(Datos!T13+Datos!AH13))/(Datos!T13+Datos!AH13))
     ),IF(J_V="SI",(Datos!J13-Datos!T13)/Datos!T13,(Datos!J13+Datos!Z13-(Datos!T13+Datos!AH13))/(Datos!T13+Datos!AH13))," - ")</f>
        <v>-0.99145299145299148</v>
      </c>
      <c r="D13" s="854">
        <f>IF(ISNUMBER(
   IF(J_V="SI",(Datos!K13-Datos!U13)/Datos!U13,(Datos!K13+Datos!AA13-(Datos!U13+Datos!AI13))/(Datos!U13+Datos!AI13))
     ),IF(J_V="SI",(Datos!K13-Datos!U13)/Datos!U13,(Datos!K13+Datos!AA13-(Datos!U13+Datos!AI13))/(Datos!U13+Datos!AI13))," - ")</f>
        <v>-0.23809523809523808</v>
      </c>
      <c r="E13" s="854">
        <f>IF(ISNUMBER(
   IF(J_V="SI",(Datos!L13-Datos!V13)/Datos!V13,(Datos!L13+Datos!AB13-(Datos!V13+Datos!AJ13))/(Datos!V13+Datos!AJ13))
     ),IF(J_V="SI",(Datos!L13-Datos!V13)/Datos!V13,(Datos!L13+Datos!AB13-(Datos!V13+Datos!AJ13))/(Datos!V13+Datos!AJ13))," - ")</f>
        <v>-0.15327102803738318</v>
      </c>
      <c r="F13" s="855">
        <f>IF(ISNUMBER((Datos!M13-Datos!W13)/Datos!W13),(Datos!M13-Datos!W13)/Datos!W13," - ")</f>
        <v>-0.6470588235294118</v>
      </c>
      <c r="G13" s="856">
        <f>IF(ISNUMBER((Datos!N13-Datos!X13)/Datos!X13),(Datos!N13-Datos!X13)/Datos!X13," - ")</f>
        <v>-1</v>
      </c>
      <c r="H13" s="856">
        <f>IF(ISNUMBER(((NºAsuntos!G13/NºAsuntos!E13)-Datos!BD13)/Datos!BD13),((NºAsuntos!G13/NºAsuntos!E13)-Datos!BD13)/Datos!BD13," - ")</f>
        <v>88.142857142857139</v>
      </c>
      <c r="I13" s="856">
        <f>IF(ISNUMBER(((NºAsuntos!I13/NºAsuntos!G13)-Datos!BE13)/Datos!BE13),((NºAsuntos!I13/NºAsuntos!G13)-Datos!BE13)/Datos!BE13," - ")</f>
        <v>0.11133177570093458</v>
      </c>
      <c r="J13" s="856">
        <f>IF(ISNUMBER((('Resol  Asuntos'!D13/NºAsuntos!G13)-Datos!BF13)/Datos!BF13),(('Resol  Asuntos'!D13/NºAsuntos!G13)-Datos!BF13)/Datos!BF13," - ")</f>
        <v>-0.671875</v>
      </c>
      <c r="K13" s="856">
        <f>IF(ISNUMBER((((NºAsuntos!C13+NºAsuntos!E13)/NºAsuntos!G13)-Datos!BG13)/Datos!BG13),(((NºAsuntos!C13+NºAsuntos!E13)/NºAsuntos!G13)-Datos!BG13)/Datos!BG13," - ")</f>
        <v>9.9602842809364545E-2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0.22509225092250923</v>
      </c>
      <c r="C16" s="455">
        <f>IF(ISNUMBER(
   IF(D_I="SI",(Datos!J16-Datos!T16)/Datos!T16,(Datos!J16+Datos!AD16-(Datos!T16+Datos!AL16))/(Datos!T16+Datos!AL16))
     ),IF(D_I="SI",(Datos!J16-Datos!T16)/Datos!T16,(Datos!J16+Datos!AD16-(Datos!T16+Datos!AL16))/(Datos!T16+Datos!AL16))," - ")</f>
        <v>-3.7974683544303799E-2</v>
      </c>
      <c r="D16" s="455">
        <f>IF(ISNUMBER(
   IF(D_I="SI",(Datos!K16-Datos!U16)/Datos!U16,(Datos!K16+Datos!AE16-(Datos!U16+Datos!AM16))/(Datos!U16+Datos!AM16))
     ),IF(D_I="SI",(Datos!K16-Datos!U16)/Datos!U16,(Datos!K16+Datos!AE16-(Datos!U16+Datos!AM16))/(Datos!U16+Datos!AM16))," - ")</f>
        <v>0.71111111111111114</v>
      </c>
      <c r="E16" s="455">
        <f>IF(ISNUMBER(
   IF(D_I="SI",(Datos!L16-Datos!V16)/Datos!V16,(Datos!L16+Datos!AF16-(Datos!V16+Datos!AN16))/(Datos!V16+Datos!AN16))
     ),IF(D_I="SI",(Datos!L16-Datos!V16)/Datos!V16,(Datos!L16+Datos!AF16-(Datos!V16+Datos!AN16))/(Datos!V16+Datos!AN16))," - ")</f>
        <v>8.5245901639344257E-2</v>
      </c>
      <c r="F16" s="455" t="str">
        <f>IF(ISNUMBER((Datos!M16-Datos!W16)/Datos!W16),(Datos!M16-Datos!W16)/Datos!W16," - ")</f>
        <v xml:space="preserve"> - </v>
      </c>
      <c r="G16" s="456">
        <f>IF(ISNUMBER((Datos!N16-Datos!X16)/Datos!X16),(Datos!N16-Datos!X16)/Datos!X16," - ")</f>
        <v>0.1111111111111111</v>
      </c>
      <c r="H16" s="454">
        <f>IF(ISNUMBER(((NºAsuntos!G16/NºAsuntos!E16)-Datos!BD16)/Datos!BD16),((NºAsuntos!G16/NºAsuntos!E16)-Datos!BD16)/Datos!BD16," - ")</f>
        <v>0.77865497076023371</v>
      </c>
      <c r="I16" s="455">
        <f>IF(ISNUMBER(((NºAsuntos!I16/NºAsuntos!G16)-Datos!BE16)/Datos!BE16),((NºAsuntos!I16/NºAsuntos!G16)-Datos!BE16)/Datos!BE16," - ")</f>
        <v>-0.36576538215882476</v>
      </c>
      <c r="J16" s="460" t="str">
        <f>IF(ISNUMBER((('Resol  Asuntos'!D16/NºAsuntos!G16)-Datos!BF16)/Datos!BF16),(('Resol  Asuntos'!D16/NºAsuntos!G16)-Datos!BF16)/Datos!BF16," - ")</f>
        <v xml:space="preserve"> - </v>
      </c>
      <c r="K16" s="461">
        <f>IF(ISNUMBER((((NºAsuntos!C16+NºAsuntos!E16)/NºAsuntos!G16)-Datos!BG16)/Datos!BG16),(((NºAsuntos!C16+NºAsuntos!E16)/NºAsuntos!G16)-Datos!BG16)/Datos!BG16," - ")</f>
        <v>-0.31873840445269014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v>
      </c>
      <c r="C17" s="455">
        <f>IF(ISNUMBER(
   IF(D_I="SI",(Datos!J17-Datos!T17)/Datos!T17,(Datos!J17+Datos!AD17-(Datos!T17+Datos!AL17))/(Datos!T17+Datos!AL17))
     ),IF(D_I="SI",(Datos!J17-Datos!T17)/Datos!T17,(Datos!J17+Datos!AD17-(Datos!T17+Datos!AL17))/(Datos!T17+Datos!AL17))," - ")</f>
        <v>3</v>
      </c>
      <c r="D17" s="455" t="str">
        <f>IF(ISNUMBER(
   IF(D_I="SI",(Datos!K17-Datos!U17)/Datos!U17,(Datos!K17+Datos!AE17-(Datos!U17+Datos!AM17))/(Datos!U17+Datos!AM17))
     ),IF(D_I="SI",(Datos!K17-Datos!U17)/Datos!U17,(Datos!K17+Datos!AE17-(Datos!U17+Datos!AM17))/(Datos!U17+Datos!AM17))," - ")</f>
        <v xml:space="preserve"> - </v>
      </c>
      <c r="E17" s="455">
        <f>IF(ISNUMBER(
   IF(D_I="SI",(Datos!L17-Datos!V17)/Datos!V17,(Datos!L17+Datos!AF17-(Datos!V17+Datos!AN17))/(Datos!V17+Datos!AN17))
     ),IF(D_I="SI",(Datos!L17-Datos!V17)/Datos!V17,(Datos!L17+Datos!AF17-(Datos!V17+Datos!AN17))/(Datos!V17+Datos!AN17))," - ")</f>
        <v>0.47058823529411764</v>
      </c>
      <c r="F17" s="455" t="str">
        <f>IF(ISNUMBER((Datos!M17-Datos!W17)/Datos!W17),(Datos!M17-Datos!W17)/Datos!W17," - ")</f>
        <v xml:space="preserve"> - </v>
      </c>
      <c r="G17" s="456">
        <f>IF(ISNUMBER((Datos!N17-Datos!X17)/Datos!X17),(Datos!N17-Datos!X17)/Datos!X17," - ")</f>
        <v>5</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0.22377622377622378</v>
      </c>
      <c r="C18" s="854">
        <f>IF(ISNUMBER(
   IF(Criterios!B14="SI",(Datos!J18-Datos!T18)/Datos!T18,(Datos!J18+Datos!AD18-(Datos!T18+Datos!AL18))/(Datos!T18+Datos!AL18))
     ),IF(Criterios!B14="SI",(Datos!J18-Datos!T18)/Datos!T18,(Datos!J18+Datos!AD18-(Datos!T18+Datos!AL18))/(Datos!T18+Datos!AL18))," - ")</f>
        <v>3.7037037037037035E-2</v>
      </c>
      <c r="D18" s="854">
        <f>IF(ISNUMBER(
   IF(Criterios!B14="SI",(Datos!K18-Datos!U18)/Datos!U18,(Datos!K18+Datos!AE18-(Datos!U18+Datos!AM18))/(Datos!U18+Datos!AM18))
     ),IF(Criterios!B14="SI",(Datos!K18-Datos!U18)/Datos!U18,(Datos!K18+Datos!AE18-(Datos!U18+Datos!AM18))/(Datos!U18+Datos!AM18))," - ")</f>
        <v>0.73333333333333328</v>
      </c>
      <c r="E18" s="854">
        <f>IF(ISNUMBER(
   IF(Criterios!B14="SI",(Datos!L18-Datos!V18)/Datos!V18,(Datos!L18+Datos!AF18-(Datos!V18+Datos!AN18))/(Datos!V18+Datos!AN18))
     ),IF(Criterios!B14="SI",(Datos!L18-Datos!V18)/Datos!V18,(Datos!L18+Datos!AF18-(Datos!V18+Datos!AN18))/(Datos!V18+Datos!AN18))," - ")</f>
        <v>0.10559006211180125</v>
      </c>
      <c r="F18" s="855" t="str">
        <f>IF(ISNUMBER((Datos!M18-Datos!W18)/Datos!W18),(Datos!M18-Datos!W18)/Datos!W18," - ")</f>
        <v xml:space="preserve"> - </v>
      </c>
      <c r="G18" s="856">
        <f>IF(ISNUMBER((Datos!N18-Datos!X18)/Datos!X18),(Datos!N18-Datos!X18)/Datos!X18," - ")</f>
        <v>0.21739130434782608</v>
      </c>
      <c r="H18" s="856">
        <f>IF(ISNUMBER(((NºAsuntos!G18/NºAsuntos!E18)-Datos!BD18)/Datos!BD18),((NºAsuntos!G18/NºAsuntos!E18)-Datos!BD18)/Datos!BD18," - ")</f>
        <v>0.67142857142857137</v>
      </c>
      <c r="I18" s="856">
        <f>IF(ISNUMBER(((NºAsuntos!I18/NºAsuntos!G18)-Datos!BE18)/Datos!BE18),((NºAsuntos!I18/NºAsuntos!G18)-Datos!BE18)/Datos!BE18," - ")</f>
        <v>-0.36215957955088396</v>
      </c>
      <c r="J18" s="856" t="str">
        <f>IF(ISNUMBER((('Resol  Asuntos'!D18/NºAsuntos!G18)-Datos!BF18)/Datos!BF18),(('Resol  Asuntos'!D18/NºAsuntos!G18)-Datos!BF18)/Datos!BF18," - ")</f>
        <v xml:space="preserve"> - </v>
      </c>
      <c r="K18" s="856">
        <f>IF(ISNUMBER((((NºAsuntos!C18+NºAsuntos!E18)/NºAsuntos!G18)-Datos!BG18)/Datos!BG18),(((NºAsuntos!C18+NºAsuntos!E18)/NºAsuntos!G18)-Datos!BG18)/Datos!BG18," - ")</f>
        <v>-0.31775309159505344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0.10821382007822686</v>
      </c>
      <c r="C19" s="801">
        <f>IF(ISNUMBER(
   IF(J_V="SI",(Datos!J19-Datos!T19)/Datos!T19,(Datos!J19+Datos!Z19-(Datos!T19+Datos!AH19))/(Datos!T19+Datos!AH19))
     ),IF(J_V="SI",(Datos!J19-Datos!T19)/Datos!T19,(Datos!J19+Datos!Z19-(Datos!T19+Datos!AH19))/(Datos!T19+Datos!AH19))," - ")</f>
        <v>-0.57070707070707072</v>
      </c>
      <c r="D19" s="801">
        <f>IF(ISNUMBER(
   IF(J_V="SI",(Datos!K19-Datos!U19)/Datos!U19,(Datos!K19+Datos!AA19-(Datos!U19+Datos!AI19))/(Datos!U19+Datos!AI19))
     ),IF(J_V="SI",(Datos!K19-Datos!U19)/Datos!U19,(Datos!K19+Datos!AA19-(Datos!U19+Datos!AI19))/(Datos!U19+Datos!AI19))," - ")</f>
        <v>0.16666666666666666</v>
      </c>
      <c r="E19" s="801">
        <f>IF(ISNUMBER(
   IF(J_V="SI",(Datos!L19-Datos!V19)/Datos!V19,(Datos!L19+Datos!AB19-(Datos!V19+Datos!AJ19))/(Datos!V19+Datos!AJ19))
     ),IF(J_V="SI",(Datos!L19-Datos!V19)/Datos!V19,(Datos!L19+Datos!AB19-(Datos!V19+Datos!AJ19))/(Datos!V19+Datos!AJ19))," - ")</f>
        <v>-5.6009334889148193E-2</v>
      </c>
      <c r="F19" s="802">
        <f>IF(ISNUMBER((Datos!M19-Datos!W19)/Datos!W19),(Datos!M19-Datos!W19)/Datos!W19," - ")</f>
        <v>0.47058823529411764</v>
      </c>
      <c r="G19" s="803">
        <f>IF(ISNUMBER((Datos!N19-Datos!X19)/Datos!X19),(Datos!N19-Datos!X19)/Datos!X19," - ")</f>
        <v>-0.2</v>
      </c>
      <c r="H19" s="804">
        <f>IF(ISNUMBER((Tasas!B19-Datos!BD19)/Datos!BD19),(Tasas!B19-Datos!BD19)/Datos!BD19," - ")</f>
        <v>1.7176470588235297</v>
      </c>
      <c r="I19" s="805">
        <f>IF(ISNUMBER((Tasas!C19-Datos!BE19)/Datos!BE19),(Tasas!C19-Datos!BE19)/Datos!BE19," - ")</f>
        <v>-0.19086514419069842</v>
      </c>
      <c r="J19" s="806">
        <f>IF(ISNUMBER((Tasas!D19-Datos!BF19)/Datos!BF19),(Tasas!D19-Datos!BF19)/Datos!BF19," - ")</f>
        <v>-0.10714285714285714</v>
      </c>
      <c r="K19" s="806">
        <f>IF(ISNUMBER((Tasas!E19-Datos!BG19)/Datos!BG19),(Tasas!E19-Datos!BG19)/Datos!BG19," - ")</f>
        <v>-0.16950407105847518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I8Iuf6LsJSO4e5RR5NqzURiibuFJw3MX190FfXYW58qkSRXwgOk6XqfLTzvw0XZaakdZ2mULG4ikyTf003chw==" saltValue="4Hf2v2RyMdd4d+3kEMem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AVILA</v>
      </c>
    </row>
    <row r="4" spans="1:7" ht="11.25" customHeight="1" thickBot="1">
      <c r="B4" s="390" t="str">
        <f>Criterios!A11 &amp;"  "&amp;Criterios!B11</f>
        <v>Resumenes por Partidos Judiciales  PIEDRAHITA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48</v>
      </c>
      <c r="C12" s="442">
        <f>IF(ISNUMBER(NºAsuntos!I12/NºAsuntos!G12),NºAsuntos!I12/NºAsuntos!G12," - ")</f>
        <v>9.4375</v>
      </c>
      <c r="D12" s="443">
        <f>IF(ISNUMBER('Resol  Asuntos'!D12/NºAsuntos!G12),'Resol  Asuntos'!D12/NºAsuntos!G12," - ")</f>
        <v>0.125</v>
      </c>
      <c r="E12" s="444">
        <f>IF(ISNUMBER((NºAsuntos!C12+NºAsuntos!E12)/NºAsuntos!G12),(NºAsuntos!C12+NºAsuntos!E12)/NºAsuntos!G12," - ")</f>
        <v>10.4375</v>
      </c>
      <c r="G12" s="462"/>
    </row>
    <row r="13" spans="1:7" ht="14.25" thickTop="1" thickBot="1">
      <c r="A13" s="847" t="str">
        <f>Datos!A13</f>
        <v>TOTAL</v>
      </c>
      <c r="B13" s="857">
        <f>IF(ISNUMBER(NºAsuntos!G13/NºAsuntos!E13),NºAsuntos!G13/NºAsuntos!E13," - ")</f>
        <v>48</v>
      </c>
      <c r="C13" s="858">
        <f>IF(ISNUMBER(NºAsuntos!I13/NºAsuntos!G13),NºAsuntos!I13/NºAsuntos!G13," - ")</f>
        <v>9.4375</v>
      </c>
      <c r="D13" s="859">
        <f>IF(ISNUMBER('Resol  Asuntos'!D13/NºAsuntos!G13),'Resol  Asuntos'!D13/NºAsuntos!G13," - ")</f>
        <v>0.125</v>
      </c>
      <c r="E13" s="860">
        <f>IF(ISNUMBER((NºAsuntos!C13+NºAsuntos!E13)/NºAsuntos!G13),(NºAsuntos!C13+NºAsuntos!E13)/NºAsuntos!G13," - ")</f>
        <v>10.4375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1.013157894736842</v>
      </c>
      <c r="C16" s="442">
        <f>IF(ISNUMBER(NºAsuntos!I16/NºAsuntos!G16),NºAsuntos!I16/NºAsuntos!G16," - ")</f>
        <v>4.2987012987012987</v>
      </c>
      <c r="D16" s="443">
        <f>IF(ISNUMBER('Resol  Asuntos'!D16/NºAsuntos!G16),'Resol  Asuntos'!D16/NºAsuntos!G16," - ")</f>
        <v>0.24675324675324675</v>
      </c>
      <c r="E16" s="444">
        <f>IF(ISNUMBER((NºAsuntos!C16+NºAsuntos!E16)/NºAsuntos!G16),(NºAsuntos!C16+NºAsuntos!E16)/NºAsuntos!G16," - ")</f>
        <v>5.2987012987012987</v>
      </c>
      <c r="G16" s="462"/>
    </row>
    <row r="17" spans="1:7" ht="21.75" thickBot="1">
      <c r="A17" s="401" t="str">
        <f>Datos!A17</f>
        <v>Jdos. Violencia contra la mujer/Secc Viol. TI.</v>
      </c>
      <c r="B17" s="441">
        <f>IF(ISNUMBER(NºAsuntos!G17/NºAsuntos!E17),NºAsuntos!G17/NºAsuntos!E17," - ")</f>
        <v>0.125</v>
      </c>
      <c r="C17" s="442">
        <f>IF(ISNUMBER(NºAsuntos!I17/NºAsuntos!G17),NºAsuntos!I17/NºAsuntos!G17," - ")</f>
        <v>25</v>
      </c>
      <c r="D17" s="443">
        <f>IF(ISNUMBER('Resol  Asuntos'!D17/NºAsuntos!G17),'Resol  Asuntos'!D17/NºAsuntos!G17," - ")</f>
        <v>0</v>
      </c>
      <c r="E17" s="444">
        <f>IF(ISNUMBER((NºAsuntos!C17+NºAsuntos!E17)/NºAsuntos!G17),(NºAsuntos!C17+NºAsuntos!E17)/NºAsuntos!G17," - ")</f>
        <v>26</v>
      </c>
      <c r="G17" s="462"/>
    </row>
    <row r="18" spans="1:7" ht="14.25" thickTop="1" thickBot="1">
      <c r="A18" s="847" t="str">
        <f>Datos!A18</f>
        <v>TOTAL</v>
      </c>
      <c r="B18" s="857">
        <f>IF(ISNUMBER(NºAsuntos!G18/NºAsuntos!E18),NºAsuntos!G18/NºAsuntos!E18," - ")</f>
        <v>0.9285714285714286</v>
      </c>
      <c r="C18" s="858">
        <f>IF(ISNUMBER(NºAsuntos!I18/NºAsuntos!G18),NºAsuntos!I18/NºAsuntos!G18," - ")</f>
        <v>4.5641025641025639</v>
      </c>
      <c r="D18" s="861">
        <f>IF(ISNUMBER('Resol  Asuntos'!D18/NºAsuntos!G18),'Resol  Asuntos'!D18/NºAsuntos!G18," - ")</f>
        <v>0.24358974358974358</v>
      </c>
      <c r="E18" s="860">
        <f>IF(ISNUMBER((NºAsuntos!C18+NºAsuntos!E18)/NºAsuntos!G18),(NºAsuntos!C18+NºAsuntos!E18)/NºAsuntos!G18," - ")</f>
        <v>5.5641025641025639</v>
      </c>
      <c r="G18" s="462"/>
    </row>
    <row r="19" spans="1:7" ht="15.75" customHeight="1" thickTop="1" thickBot="1">
      <c r="A19" s="792" t="str">
        <f>Datos!A19</f>
        <v>TOTAL JURISDICCIONES</v>
      </c>
      <c r="B19" s="807">
        <f>IF(ISNUMBER(NºAsuntos!G19/NºAsuntos!E19),NºAsuntos!G19/NºAsuntos!E19," - ")</f>
        <v>1.4823529411764707</v>
      </c>
      <c r="C19" s="808">
        <f>IF(ISNUMBER(NºAsuntos!I19/NºAsuntos!G19),NºAsuntos!I19/NºAsuntos!G19," - ")</f>
        <v>6.4206349206349209</v>
      </c>
      <c r="D19" s="809">
        <f>IF(ISNUMBER('Resol  Asuntos'!D19/NºAsuntos!G19),'Resol  Asuntos'!D19/NºAsuntos!G19," - ")</f>
        <v>0.1984126984126984</v>
      </c>
      <c r="E19" s="810">
        <f>IF(ISNUMBER((NºAsuntos!C19+NºAsuntos!E19)/NºAsuntos!G19),(NºAsuntos!C19+NºAsuntos!E19)/NºAsuntos!G19," - ")</f>
        <v>7.4206349206349209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LssYApsAHWswwfX4xsbb2+8bbT/hIf3Thf5iGxgkus8gSDYESd3htxqPTRkGv66OEOU7mhVCdpIekqWE94KQw==" saltValue="wCLpNj3oyRUtSjwzHp2e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AVILA</v>
      </c>
      <c r="N2" s="261" t="str">
        <f>Criterios!A11 &amp;"  "&amp;Criterios!B11</f>
        <v>Resumenes por Partidos Judiciales  PIEDRAHITA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v>
      </c>
      <c r="Y12" s="333">
        <f t="shared" si="0"/>
        <v>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v>
      </c>
      <c r="AJ12" s="228" t="str">
        <f>IF(ISNUMBER(Datos!BW12),Datos!BW12," - ")</f>
        <v xml:space="preserve"> - </v>
      </c>
      <c r="AK12" s="227" t="str">
        <f>IF(ISNUMBER(Datos!BX12),Datos!BX12," - ")</f>
        <v xml:space="preserve"> - </v>
      </c>
      <c r="AL12" s="242">
        <f>IF(ISNUMBER(NºAsuntos!G12/NºAsuntos!E12),NºAsuntos!G12/NºAsuntos!E12," - ")</f>
        <v>48</v>
      </c>
      <c r="AM12" s="259">
        <f>IF(ISNUMBER(((NºAsuntos!I12/NºAsuntos!G12)*11)/factor_trimestre),((NºAsuntos!I12/NºAsuntos!G12)*11)/factor_trimestre," - ")</f>
        <v>18.875</v>
      </c>
      <c r="AN12" s="243">
        <f>IF(ISNUMBER('Resol  Asuntos'!D12/NºAsuntos!G12),'Resol  Asuntos'!D12/NºAsuntos!G12," - ")</f>
        <v>0.125</v>
      </c>
      <c r="AO12" s="244">
        <f>IF(ISNUMBER((NºAsuntos!C12+NºAsuntos!E12)/NºAsuntos!G12),(NºAsuntos!C12+NºAsuntos!E12)/NºAsuntos!G12," - ")</f>
        <v>10.4375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v>
      </c>
      <c r="Y13" s="867">
        <f t="shared" si="4"/>
        <v>6</v>
      </c>
      <c r="Z13" s="867">
        <f t="shared" si="4"/>
        <v>0</v>
      </c>
      <c r="AA13" s="867">
        <f t="shared" si="4"/>
        <v>0</v>
      </c>
      <c r="AB13" s="867">
        <f t="shared" si="4"/>
        <v>184</v>
      </c>
      <c r="AC13" s="867">
        <f t="shared" si="4"/>
        <v>0</v>
      </c>
      <c r="AD13" s="867">
        <f t="shared" si="4"/>
        <v>0</v>
      </c>
      <c r="AE13" s="871">
        <f t="shared" si="4"/>
        <v>0</v>
      </c>
      <c r="AF13" s="864">
        <f t="shared" si="4"/>
        <v>0</v>
      </c>
      <c r="AG13" s="872">
        <f t="shared" si="4"/>
        <v>0</v>
      </c>
      <c r="AH13" s="869">
        <f t="shared" si="4"/>
        <v>0</v>
      </c>
      <c r="AI13" s="864">
        <f t="shared" si="4"/>
        <v>6</v>
      </c>
      <c r="AJ13" s="866">
        <f t="shared" si="4"/>
        <v>0</v>
      </c>
      <c r="AK13" s="869">
        <f>SUBTOTAL(9,AK9:AK12)</f>
        <v>0</v>
      </c>
      <c r="AL13" s="873">
        <f>IF(ISNUMBER(NºAsuntos!G13/NºAsuntos!E13),NºAsuntos!G13/NºAsuntos!E13," - ")</f>
        <v>48</v>
      </c>
      <c r="AM13" s="873">
        <f>IF(ISNUMBER(((NºAsuntos!I13/NºAsuntos!G13)*11)/factor_trimestre),((NºAsuntos!I13/NºAsuntos!G13)*11)/factor_trimestre," - ")</f>
        <v>18.875</v>
      </c>
      <c r="AN13" s="874">
        <f>IF(ISNUMBER('Resol  Asuntos'!D13/NºAsuntos!G13),'Resol  Asuntos'!D13/NºAsuntos!G13," - ")</f>
        <v>0.125</v>
      </c>
      <c r="AO13" s="875">
        <f>IF(ISNUMBER((NºAsuntos!C13+NºAsuntos!E13)/NºAsuntos!G13),(NºAsuntos!C13+NºAsuntos!E13)/NºAsuntos!G13," - ")</f>
        <v>10.4375</v>
      </c>
      <c r="AP13" s="876" t="str">
        <f t="shared" si="2"/>
        <v xml:space="preserve"> - </v>
      </c>
      <c r="AQ13" s="876" t="str">
        <f>IF(ISNUMBER((H13-W13+K13)/(F13)),(H13-W13+K13)/(F13)," - ")</f>
        <v xml:space="preserve"> - </v>
      </c>
      <c r="AR13" s="877">
        <f>IF(ISNUMBER((Datos!P13-Datos!Q13)/(Datos!R13-Datos!P13+Datos!Q13)),(Datos!P13-Datos!Q13)/(Datos!R13-Datos!P13+Datos!Q13)," - ")</f>
        <v>-3.1578947368421054E-2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332</v>
      </c>
      <c r="G16" s="332">
        <f>IF(ISNUMBER(IF(D_I="SI",Datos!I16,Datos!I16+Datos!AC16)),IF(D_I="SI",Datos!I16,Datos!I16+Datos!AC16)," - ")</f>
        <v>332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77</v>
      </c>
      <c r="X16" s="225">
        <f>IF(ISNUMBER(Datos!Q16),Datos!Q16," - ")</f>
        <v>0</v>
      </c>
      <c r="Y16" s="333">
        <f t="shared" ref="Y16:Y17" si="7">SUM(W16:X16)</f>
        <v>77</v>
      </c>
      <c r="Z16" s="334" t="str">
        <f>IF(ISNUMBER(Datos!CC16),Datos!CC16," - ")</f>
        <v xml:space="preserve"> - </v>
      </c>
      <c r="AA16" s="331">
        <f>IF(ISNUMBER(IF(D_I="SI",Datos!L16,Datos!L16+Datos!AF16)),IF(D_I="SI",Datos!L16,Datos!L16+Datos!AF16)," - ")</f>
        <v>331</v>
      </c>
      <c r="AB16" s="333">
        <f>IF(ISNUMBER(Datos!R16),Datos!R16," - ")</f>
        <v>48</v>
      </c>
      <c r="AC16" s="333">
        <f t="shared" si="6"/>
        <v>379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v>
      </c>
      <c r="AJ16" s="230" t="str">
        <f>IF(ISNUMBER(Datos!BW16),Datos!BW16," - ")</f>
        <v xml:space="preserve"> - </v>
      </c>
      <c r="AK16" s="231" t="str">
        <f>IF(ISNUMBER(Datos!BX16),Datos!BX16," - ")</f>
        <v xml:space="preserve"> - </v>
      </c>
      <c r="AL16" s="242">
        <f>IF(ISNUMBER(NºAsuntos!G16/NºAsuntos!E16),NºAsuntos!G16/NºAsuntos!E16," - ")</f>
        <v>1.013157894736842</v>
      </c>
      <c r="AM16" s="259">
        <f>IF(ISNUMBER(((NºAsuntos!I16/NºAsuntos!G16)*11)/factor_trimestre),((NºAsuntos!I16/NºAsuntos!G16)*11)/factor_trimestre," - ")</f>
        <v>8.5974025974025974</v>
      </c>
      <c r="AN16" s="243">
        <f>IF(ISNUMBER('Resol  Asuntos'!D16/NºAsuntos!G16),'Resol  Asuntos'!D16/NºAsuntos!G16," - ")</f>
        <v>0.24675324675324675</v>
      </c>
      <c r="AO16" s="244">
        <f>IF(ISNUMBER((NºAsuntos!C16+NºAsuntos!E16)/NºAsuntos!G16),(NºAsuntos!C16+NºAsuntos!E16)/NºAsuntos!G16," - ")</f>
        <v>5.2987012987012987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v>
      </c>
      <c r="X17" s="225">
        <f>IF(ISNUMBER(Datos!Q17),Datos!Q17," - ")</f>
        <v>0</v>
      </c>
      <c r="Y17" s="333">
        <f t="shared" si="7"/>
        <v>1</v>
      </c>
      <c r="Z17" s="334" t="str">
        <f>IF(ISNUMBER(Datos!CC17),Datos!CC17," - ")</f>
        <v xml:space="preserve"> - </v>
      </c>
      <c r="AA17" s="331">
        <f>IF(ISNUMBER(Datos!L17),Datos!L17,"-")</f>
        <v>25</v>
      </c>
      <c r="AB17" s="333">
        <f>IF(ISNUMBER(Datos!R17),Datos!R17," - ")</f>
        <v>0</v>
      </c>
      <c r="AC17" s="333">
        <f t="shared" si="6"/>
        <v>25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0.125</v>
      </c>
      <c r="AM17" s="259">
        <f>IF(ISNUMBER(((NºAsuntos!I17/NºAsuntos!G17)*11)/factor_trimestre),((NºAsuntos!I17/NºAsuntos!G17)*11)/factor_trimestre," - ")</f>
        <v>50</v>
      </c>
      <c r="AN17" s="243">
        <f>IF(ISNUMBER('Resol  Asuntos'!D17/NºAsuntos!G17),'Resol  Asuntos'!D17/NºAsuntos!G17," - ")</f>
        <v>0</v>
      </c>
      <c r="AO17" s="244">
        <f>IF(ISNUMBER((NºAsuntos!C17+NºAsuntos!E17)/NºAsuntos!G17),(NºAsuntos!C17+NºAsuntos!E17)/NºAsuntos!G17," - ")</f>
        <v>26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332</v>
      </c>
      <c r="G18" s="865">
        <f>SUBTOTAL(9,G15:G17)</f>
        <v>350</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78</v>
      </c>
      <c r="X18" s="866">
        <f t="shared" si="11"/>
        <v>0</v>
      </c>
      <c r="Y18" s="867">
        <f t="shared" si="11"/>
        <v>78</v>
      </c>
      <c r="Z18" s="867">
        <f t="shared" si="11"/>
        <v>0</v>
      </c>
      <c r="AA18" s="867">
        <f t="shared" si="11"/>
        <v>356</v>
      </c>
      <c r="AB18" s="867">
        <f t="shared" si="11"/>
        <v>48</v>
      </c>
      <c r="AC18" s="867">
        <f t="shared" si="11"/>
        <v>404</v>
      </c>
      <c r="AD18" s="867">
        <f t="shared" si="11"/>
        <v>0</v>
      </c>
      <c r="AE18" s="871">
        <f t="shared" si="11"/>
        <v>0</v>
      </c>
      <c r="AF18" s="864">
        <f t="shared" si="11"/>
        <v>0</v>
      </c>
      <c r="AG18" s="872">
        <f t="shared" si="11"/>
        <v>0</v>
      </c>
      <c r="AH18" s="869">
        <f t="shared" si="11"/>
        <v>0</v>
      </c>
      <c r="AI18" s="864">
        <f t="shared" si="11"/>
        <v>19</v>
      </c>
      <c r="AJ18" s="866">
        <f t="shared" si="11"/>
        <v>0</v>
      </c>
      <c r="AK18" s="869">
        <f t="shared" si="11"/>
        <v>0</v>
      </c>
      <c r="AL18" s="873">
        <f>IF(ISNUMBER(NºAsuntos!G18/NºAsuntos!E18),NºAsuntos!G18/NºAsuntos!E18," - ")</f>
        <v>0.9285714285714286</v>
      </c>
      <c r="AM18" s="873">
        <f>IF(ISNUMBER(((NºAsuntos!I18/NºAsuntos!G18)*11)/factor_trimestre),((NºAsuntos!I18/NºAsuntos!G18)*11)/factor_trimestre," - ")</f>
        <v>9.1282051282051277</v>
      </c>
      <c r="AN18" s="874">
        <f>IF(ISNUMBER('Resol  Asuntos'!D18/NºAsuntos!G18),'Resol  Asuntos'!D18/NºAsuntos!G18," - ")</f>
        <v>0.24358974358974358</v>
      </c>
      <c r="AO18" s="875">
        <f>IF(ISNUMBER((NºAsuntos!C18+NºAsuntos!E18)/NºAsuntos!G18),(NºAsuntos!C18+NºAsuntos!E18)/NºAsuntos!G18," - ")</f>
        <v>5.5641025641025639</v>
      </c>
      <c r="AP18" s="876" t="str">
        <f t="shared" si="2"/>
        <v xml:space="preserve"> - </v>
      </c>
      <c r="AQ18" s="876">
        <f>IF(ISNUMBER((H18-W18+K18)/(F18)),(H18-W18+K18)/(F18)," - ")</f>
        <v>-0.23493975903614459</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332</v>
      </c>
      <c r="G19" s="820">
        <f t="shared" si="13"/>
        <v>350</v>
      </c>
      <c r="H19" s="819">
        <f t="shared" si="13"/>
        <v>0</v>
      </c>
      <c r="I19" s="821">
        <f t="shared" si="13"/>
        <v>0</v>
      </c>
      <c r="J19" s="821">
        <f t="shared" si="13"/>
        <v>0</v>
      </c>
      <c r="K19" s="880">
        <f t="shared" si="13"/>
        <v>0</v>
      </c>
      <c r="L19" s="821">
        <f t="shared" si="13"/>
        <v>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78</v>
      </c>
      <c r="X19" s="820">
        <f t="shared" si="14"/>
        <v>6</v>
      </c>
      <c r="Y19" s="827">
        <f t="shared" si="14"/>
        <v>84</v>
      </c>
      <c r="Z19" s="827">
        <f t="shared" si="14"/>
        <v>0</v>
      </c>
      <c r="AA19" s="827">
        <f t="shared" si="14"/>
        <v>356</v>
      </c>
      <c r="AB19" s="827">
        <f t="shared" si="14"/>
        <v>232</v>
      </c>
      <c r="AC19" s="827">
        <f t="shared" si="14"/>
        <v>404</v>
      </c>
      <c r="AD19" s="827">
        <f t="shared" si="14"/>
        <v>0</v>
      </c>
      <c r="AE19" s="829">
        <f t="shared" si="14"/>
        <v>0</v>
      </c>
      <c r="AF19" s="830">
        <f t="shared" si="14"/>
        <v>0</v>
      </c>
      <c r="AG19" s="831">
        <f t="shared" si="14"/>
        <v>0</v>
      </c>
      <c r="AH19" s="829">
        <f t="shared" si="14"/>
        <v>0</v>
      </c>
      <c r="AI19" s="819">
        <f t="shared" si="14"/>
        <v>25</v>
      </c>
      <c r="AJ19" s="819">
        <f t="shared" si="14"/>
        <v>0</v>
      </c>
      <c r="AK19" s="829">
        <f t="shared" si="14"/>
        <v>0</v>
      </c>
      <c r="AL19" s="883">
        <f>IF(ISNUMBER(NºAsuntos!G19/NºAsuntos!E19),NºAsuntos!G19/NºAsuntos!E19," - ")</f>
        <v>1.4823529411764707</v>
      </c>
      <c r="AM19" s="884">
        <f>IF(ISNUMBER(((NºAsuntos!I19/NºAsuntos!G19)*11)/factor_trimestre),((NºAsuntos!I19/NºAsuntos!G19)*11)/factor_trimestre," - ")</f>
        <v>12.841269841269842</v>
      </c>
      <c r="AN19" s="884">
        <f>IF(ISNUMBER('Resol  Asuntos'!D19/NºAsuntos!G19),'Resol  Asuntos'!D19/NºAsuntos!G19," - ")</f>
        <v>0.1984126984126984</v>
      </c>
      <c r="AO19" s="885">
        <f>IF(ISNUMBER((NºAsuntos!C19+NºAsuntos!E19)/NºAsuntos!G19),(NºAsuntos!C19+NºAsuntos!E19)/NºAsuntos!G19," - ")</f>
        <v>7.4206349206349209</v>
      </c>
      <c r="AP19" s="886" t="str">
        <f t="shared" si="2"/>
        <v xml:space="preserve"> - </v>
      </c>
      <c r="AQ19" s="887">
        <f>IF(OR(ISNUMBER(FIND("01",Criterios!A8,1)),ISNUMBER(FIND("02",Criterios!A8,1)),ISNUMBER(FIND("03",Criterios!A8,1)),ISNUMBER(FIND("04",Criterios!A8,1))),(I19-W19+K19)/(F19-K19),(H19-W19+K19)/(F19-K19))</f>
        <v>-0.23493975903614459</v>
      </c>
      <c r="AR19" s="888">
        <f>IF(ISNUMBER((Datos!P19-Datos!Q19)/(Datos!R19-Datos!P19+Datos!Q19)),(Datos!P19-Datos!Q19)/(Datos!R19-Datos!P19+Datos!Q19)," - ")</f>
        <v>-2.5210084033613446E-2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191.68028937095576</v>
      </c>
      <c r="G21" s="252">
        <f>IF(ISNUMBER(STDEV(G8:G18)),STDEV(G8:G18),"-")</f>
        <v>183.74438766939249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42.269374256073391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8.6871552689396925</v>
      </c>
      <c r="AJ21" s="251">
        <f t="shared" si="18"/>
        <v>0</v>
      </c>
      <c r="AK21" s="253">
        <f t="shared" si="18"/>
        <v>0</v>
      </c>
      <c r="AL21" s="248">
        <f t="shared" si="18"/>
        <v>25.915669385448187</v>
      </c>
      <c r="AM21" s="249">
        <f t="shared" si="18"/>
        <v>16.917076766297118</v>
      </c>
      <c r="AN21" s="249">
        <f t="shared" si="18"/>
        <v>0.1022882927017866</v>
      </c>
      <c r="AO21" s="250">
        <f t="shared" si="18"/>
        <v>8.458538383148559</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cdfJ3WQL9sOEjjXyaU5vq84JC5xBpR4Vi5YdaWpov/hh/Ma+QlICznhK8t1P3N4x1IsbmnrMboYS19VHEOE4ww==" saltValue="gDodelt985TySh4Qek71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AVILA</v>
      </c>
      <c r="E3" s="262"/>
    </row>
    <row r="4" spans="2:20" ht="17.25" customHeight="1" thickBot="1">
      <c r="D4" s="261" t="str">
        <f>Criterios!A11 &amp;"  "&amp;Criterios!B11</f>
        <v>Resumenes por Partidos Judiciales  PIEDRAHITA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-0.6470588235294118</v>
      </c>
      <c r="I12" s="349">
        <f>IF(ISNUMBER((Tasas!C12-Datos!BE12)/Datos!BE12),(Tasas!C12-Datos!BE12)/Datos!BE12," - ")</f>
        <v>0.1134129213483146</v>
      </c>
      <c r="J12" s="348">
        <f>IF(ISNUMBER((Tasas!D12-Datos!BF12)/Datos!BF12),(Tasas!D12-Datos!BF12)/Datos!BF12," - ")</f>
        <v>-0.671875</v>
      </c>
      <c r="K12" s="350">
        <f>IF(ISNUMBER((Tasas!E12-Datos!BG12)/Datos!BG12),(Tasas!E12-Datos!BG12)/Datos!BG12," - ")</f>
        <v>0.10144472361809044</v>
      </c>
      <c r="M12" t="e">
        <f>IF(Monitorios="SI",Datos!CE12,0)</f>
        <v>#REF!</v>
      </c>
      <c r="N12" t="e">
        <f>IF(Monitorios="SI",Datos!CF12,0)</f>
        <v>#REF!</v>
      </c>
      <c r="O12" t="e">
        <f>IF(Monitorios="SI",Datos!CG12,0)</f>
        <v>#REF!</v>
      </c>
      <c r="P12" t="e">
        <f>IF(Monitorios="SI",Datos!CH12,0)</f>
        <v>#REF!</v>
      </c>
      <c r="Q12">
        <f>IF(J_V="SI",0,Datos!AG12)</f>
        <v>46</v>
      </c>
      <c r="R12">
        <f>IF(J_V="SI",0,Datos!AH12)</f>
        <v>5</v>
      </c>
      <c r="S12">
        <f>IF(J_V="SI",0,Datos!AI12)</f>
        <v>9</v>
      </c>
      <c r="T12">
        <f>IF(J_V="SI",0,Datos!AJ12)</f>
        <v>42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-0.6470588235294118</v>
      </c>
      <c r="I13" s="356">
        <f>IF(ISNUMBER((Tasas!C13-Datos!BE13)/Datos!BE13),(Tasas!C13-Datos!BE13)/Datos!BE13," - ")</f>
        <v>0.11133177570093458</v>
      </c>
      <c r="J13" s="354">
        <f>IF(ISNUMBER((Tasas!D13-Datos!BF13)/Datos!BF13),(Tasas!D13-Datos!BF13)/Datos!BF13," - ")</f>
        <v>-0.671875</v>
      </c>
      <c r="K13" s="357">
        <f>IF(ISNUMBER((Tasas!E13-Datos!BG13)/Datos!BG13),(Tasas!E13-Datos!BG13)/Datos!BG13," - ")</f>
        <v>9.9602842809364545E-2</v>
      </c>
      <c r="M13" t="e">
        <f>IF(Monitorios="SI",Datos!CE13,0)</f>
        <v>#REF!</v>
      </c>
      <c r="N13" t="e">
        <f>IF(Monitorios="SI",Datos!CF13,0)</f>
        <v>#REF!</v>
      </c>
      <c r="O13" t="e">
        <f>IF(Monitorios="SI",Datos!CG13,0)</f>
        <v>#REF!</v>
      </c>
      <c r="P13" t="e">
        <f>IF(Monitorios="SI",Datos!CH13,0)</f>
        <v>#REF!</v>
      </c>
      <c r="Q13">
        <f>IF(J_V="SI",0,Datos!AG13)</f>
        <v>46</v>
      </c>
      <c r="R13">
        <f>IF(J_V="SI",0,Datos!AH13)</f>
        <v>5</v>
      </c>
      <c r="S13">
        <f>IF(J_V="SI",0,Datos!AI13)</f>
        <v>9</v>
      </c>
      <c r="T13">
        <f>IF(J_V="SI",0,Datos!AJ13)</f>
        <v>42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0.22509225092250923</v>
      </c>
      <c r="E16" s="347">
        <f>IF(ISNUMBER(
   IF(D_I="SI",(Datos!J16-Datos!T16)/Datos!T16,(Datos!J16+Datos!AD16-(Datos!T16+Datos!AL16))/(Datos!T16+Datos!AL16))
     ),IF(D_I="SI",(Datos!J16-Datos!T16)/Datos!T16,(Datos!J16+Datos!AD16-(Datos!T16+Datos!AL16))/(Datos!T16+Datos!AL16))," - ")</f>
        <v>-3.7974683544303799E-2</v>
      </c>
      <c r="F16" s="347">
        <f>IF(ISNUMBER(
   IF(D_I="SI",(Datos!K16-Datos!U16)/Datos!U16,(Datos!K16+Datos!AE16-(Datos!U16+Datos!AM16))/(Datos!U16+Datos!AM16))
     ),IF(D_I="SI",(Datos!K16-Datos!U16)/Datos!U16,(Datos!K16+Datos!AE16-(Datos!U16+Datos!AM16))/(Datos!U16+Datos!AM16))," - ")</f>
        <v>0.71111111111111114</v>
      </c>
      <c r="G16" s="348">
        <f>IF(ISNUMBER(
   IF(D_I="SI",(Datos!L16-Datos!V16)/Datos!V16,(Datos!L16+Datos!AF16-(Datos!V16+Datos!AN16))/(Datos!V16+Datos!AN16))
     ),IF(D_I="SI",(Datos!L16-Datos!V16)/Datos!V16,(Datos!L16+Datos!AF16-(Datos!V16+Datos!AN16))/(Datos!V16+Datos!AN16))," - ")</f>
        <v>8.5245901639344257E-2</v>
      </c>
      <c r="H16" s="229" t="str">
        <f>IF(ISNUMBER((Datos!M16-Datos!W16)/Datos!W16),(Datos!M16-Datos!W16)/Datos!W16," - ")</f>
        <v xml:space="preserve"> - </v>
      </c>
      <c r="I16" s="349">
        <f>IF(ISNUMBER((Tasas!C16-Datos!BE16)/Datos!BE16),(Tasas!C16-Datos!BE16)/Datos!BE16," - ")</f>
        <v>-0.36576538215882476</v>
      </c>
      <c r="J16" s="348" t="str">
        <f>IF(ISNUMBER((Tasas!D16-Datos!BF16)/Datos!BF16),(Tasas!D16-Datos!BF16)/Datos!BF16," - ")</f>
        <v xml:space="preserve"> - </v>
      </c>
      <c r="K16" s="350">
        <f>IF(ISNUMBER((Tasas!E16-Datos!BG16)/Datos!BG16),(Tasas!E16-Datos!BG16)/Datos!BG16," - ")</f>
        <v>-0.31873840445269014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v>
      </c>
      <c r="E17" s="347">
        <f>IF(ISNUMBER(
   IF(D_I="SI",(Datos!J17-Datos!T17)/Datos!T17,(Datos!J17+Datos!AD17-(Datos!T17+Datos!AL17))/(Datos!T17+Datos!AL17))
     ),IF(D_I="SI",(Datos!J17-Datos!T17)/Datos!T17,(Datos!J17+Datos!AD17-(Datos!T17+Datos!AL17))/(Datos!T17+Datos!AL17))," - ")</f>
        <v>3</v>
      </c>
      <c r="F17" s="347" t="str">
        <f>IF(ISNUMBER(
   IF(D_I="SI",(Datos!K17-Datos!U17)/Datos!U17,(Datos!K17+Datos!AE17-(Datos!U17+Datos!AM17))/(Datos!U17+Datos!AM17))
     ),IF(D_I="SI",(Datos!K17-Datos!U17)/Datos!U17,(Datos!K17+Datos!AE17-(Datos!U17+Datos!AM17))/(Datos!U17+Datos!AM17))," - ")</f>
        <v xml:space="preserve"> - </v>
      </c>
      <c r="G17" s="348">
        <f>IF(ISNUMBER(
   IF(D_I="SI",(Datos!L17-Datos!V17)/Datos!V17,(Datos!L17+Datos!AF17-(Datos!V17+Datos!AN17))/(Datos!V17+Datos!AN17))
     ),IF(D_I="SI",(Datos!L17-Datos!V17)/Datos!V17,(Datos!L17+Datos!AF17-(Datos!V17+Datos!AN17))/(Datos!V17+Datos!AN17))," - ")</f>
        <v>0.47058823529411764</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0.22377622377622378</v>
      </c>
      <c r="E18" s="353">
        <f>IF(ISNUMBER(
   IF(D_I="SI",(Datos!J18-Datos!T18)/Datos!T18,(Datos!J18+Datos!AD18-(Datos!T18+Datos!AL18))/(Datos!T18+Datos!AL18))
     ),IF(D_I="SI",(Datos!J18-Datos!T18)/Datos!T18,(Datos!J18+Datos!AD18-(Datos!T18+Datos!AL18))/(Datos!T18+Datos!AL18))," - ")</f>
        <v>3.7037037037037035E-2</v>
      </c>
      <c r="F18" s="353">
        <f>IF(ISNUMBER(
   IF(D_I="SI",(Datos!K18-Datos!U18)/Datos!U18,(Datos!K18+Datos!AE18-(Datos!U18+Datos!AM18))/(Datos!U18+Datos!AM18))
     ),IF(D_I="SI",(Datos!K18-Datos!U18)/Datos!U18,(Datos!K18+Datos!AE18-(Datos!U18+Datos!AM18))/(Datos!U18+Datos!AM18))," - ")</f>
        <v>0.73333333333333328</v>
      </c>
      <c r="G18" s="354">
        <f>IF(ISNUMBER(
   IF(D_I="SI",(Datos!L18-Datos!V18)/Datos!V18,(Datos!L18+Datos!AF18-(Datos!V18+Datos!AN18))/(Datos!V18+Datos!AN18))
     ),IF(D_I="SI",(Datos!L18-Datos!V18)/Datos!V18,(Datos!L18+Datos!AF18-(Datos!V18+Datos!AN18))/(Datos!V18+Datos!AN18))," - ")</f>
        <v>0.10559006211180125</v>
      </c>
      <c r="H18" s="355" t="str">
        <f>IF(ISNUMBER((Datos!M18-Datos!W18)/Datos!W18),(Datos!M18-Datos!W18)/Datos!W18," - ")</f>
        <v xml:space="preserve"> - </v>
      </c>
      <c r="I18" s="356">
        <f>IF(ISNUMBER((Tasas!C18-Datos!BE18)/Datos!BE18),(Tasas!C18-Datos!BE18)/Datos!BE18," - ")</f>
        <v>-0.36215957955088396</v>
      </c>
      <c r="J18" s="354" t="str">
        <f>IF(ISNUMBER((Tasas!D18-Datos!BF18)/Datos!BF18),(Tasas!D18-Datos!BF18)/Datos!BF18," - ")</f>
        <v xml:space="preserve"> - </v>
      </c>
      <c r="K18" s="357">
        <f>IF(ISNUMBER((Tasas!E18-Datos!BG18)/Datos!BG18),(Tasas!E18-Datos!BG18)/Datos!BG18," - ")</f>
        <v>-0.31775309159505344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0.10821382007822686</v>
      </c>
      <c r="E19" s="362">
        <f>IF(ISNUMBER(
   IF(J_V="SI",(Datos!J19-Datos!T19)/Datos!T19,(Datos!J19+Datos!Z19-(Datos!T19+Datos!AH19))/(Datos!T19+Datos!AH19))
     ),IF(J_V="SI",(Datos!J19-Datos!T19)/Datos!T19,(Datos!J19+Datos!Z19-(Datos!T19+Datos!AH19))/(Datos!T19+Datos!AH19))," - ")</f>
        <v>-0.57070707070707072</v>
      </c>
      <c r="F19" s="362">
        <f>IF(ISNUMBER(
   IF(J_V="SI",(Datos!K19-Datos!U19)/Datos!U19,(Datos!K19+Datos!AA19-(Datos!U19+Datos!AI19))/(Datos!U19+Datos!AI19))
     ),IF(J_V="SI",(Datos!K19-Datos!U19)/Datos!U19,(Datos!K19+Datos!AA19-(Datos!U19+Datos!AI19))/(Datos!U19+Datos!AI19))," - ")</f>
        <v>0.16666666666666666</v>
      </c>
      <c r="G19" s="363">
        <f>IF(ISNUMBER(
   IF(J_V="SI",(Datos!L19-Datos!V19)/Datos!V19,(Datos!L19+Datos!AB19-(Datos!V19+Datos!AJ19))/(Datos!V19+Datos!AJ19))
     ),IF(J_V="SI",(Datos!L19-Datos!V19)/Datos!V19,(Datos!L19+Datos!AB19-(Datos!V19+Datos!AJ19))/(Datos!V19+Datos!AJ19))," - ")</f>
        <v>-5.6009334889148193E-2</v>
      </c>
      <c r="H19" s="364">
        <f>IF(ISNUMBER((Datos!M19-Datos!W19)/Datos!W19),(Datos!M19-Datos!W19)/Datos!W19," - ")</f>
        <v>0.47058823529411764</v>
      </c>
      <c r="I19" s="361">
        <f>IF(ISNUMBER((Tasas!C19-Datos!BE19)/Datos!BE19),(Tasas!C19-Datos!BE19)/Datos!BE19," - ")</f>
        <v>-0.19086514419069842</v>
      </c>
      <c r="J19" s="362">
        <f>IF(ISNUMBER((Tasas!D19-Datos!BF19)/Datos!BF19),(Tasas!D19-Datos!BF19)/Datos!BF19," - ")</f>
        <v>-0.10714285714285714</v>
      </c>
      <c r="K19" s="363">
        <f>IF(ISNUMBER((Tasas!E19-Datos!BG19)/Datos!BG19),(Tasas!E19-Datos!BG19)/Datos!BG19," - ")</f>
        <v>-0.16950407105847518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0.60825405403164934</v>
      </c>
      <c r="E21" s="277">
        <f t="shared" si="1"/>
        <v>1.732727448079614</v>
      </c>
      <c r="F21" s="277">
        <f t="shared" si="1"/>
        <v>1.5713484026367668E-2</v>
      </c>
      <c r="G21" s="278">
        <f t="shared" si="1"/>
        <v>0.63540302667212067</v>
      </c>
      <c r="H21" s="284">
        <f t="shared" si="1"/>
        <v>0</v>
      </c>
      <c r="I21" s="276">
        <f t="shared" si="1"/>
        <v>0.27501729410457315</v>
      </c>
      <c r="J21" s="277">
        <f t="shared" si="1"/>
        <v>0</v>
      </c>
      <c r="K21" s="278">
        <f t="shared" si="1"/>
        <v>0.24177820550808485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ONaO3J+QuoKm7QK+h9weZjssO8qTkrTuzoUvG7LjbqES3CB4j6HbnbhODlBR8sI2QnmL+i5wcjeP2bPzApC8w==" saltValue="iesE+DLdjztF5DUb/JUw9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